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3.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4.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drawings/drawing21.xml" ContentType="application/vnd.openxmlformats-officedocument.drawing+xml"/>
  <Override PartName="/xl/ctrlProps/ctrlProp168.xml" ContentType="application/vnd.ms-excel.controlproperties+xml"/>
  <Override PartName="/xl/ctrlProps/ctrlProp169.xml" ContentType="application/vnd.ms-excel.controlproperties+xml"/>
  <Override PartName="/xl/drawings/drawing22.xml" ContentType="application/vnd.openxmlformats-officedocument.drawing+xml"/>
  <Override PartName="/xl/drawings/drawing23.xml" ContentType="application/vnd.openxmlformats-officedocument.drawing+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https://linclanc.sharepoint.com/sites/HealthENV/Shared Documents/Air/Webpages/airforms/Up-to-Date Forms/"/>
    </mc:Choice>
  </mc:AlternateContent>
  <xr:revisionPtr revIDLastSave="113" documentId="11_26416326B7D8FF6AE8230D7B8C329420C30F074A" xr6:coauthVersionLast="47" xr6:coauthVersionMax="47" xr10:uidLastSave="{6E8901B7-2C2C-45FC-8A9E-BDFBCF23D7DB}"/>
  <bookViews>
    <workbookView xWindow="-120" yWindow="-120" windowWidth="29040" windowHeight="15720" tabRatio="804" xr2:uid="{00000000-000D-0000-FFFF-FFFF00000000}"/>
  </bookViews>
  <sheets>
    <sheet name="Introduction" sheetId="23" r:id="rId1"/>
    <sheet name="Section 1| General Information" sheetId="18" r:id="rId2"/>
    <sheet name="Section 2| Source Information" sheetId="21" r:id="rId3"/>
    <sheet name="Table 3-A| Emission Units" sheetId="8" r:id="rId4"/>
    <sheet name="Table 3-B| Stack Info" sheetId="10" r:id="rId5"/>
    <sheet name="Section 4 Instructions" sheetId="24" r:id="rId6"/>
    <sheet name="Table 4-A| Insignificant List" sheetId="9" r:id="rId7"/>
    <sheet name="Table 4-B| Oil Storage" sheetId="22" r:id="rId8"/>
    <sheet name="Table 4-C| Cooling Towers" sheetId="25" r:id="rId9"/>
    <sheet name="Table 5-A| Primary MPTE" sheetId="3" r:id="rId10"/>
    <sheet name="Table 5-B| MPTE VOC" sheetId="2" r:id="rId11"/>
    <sheet name="Table 5-C| MPTE HAP" sheetId="4" r:id="rId12"/>
    <sheet name="Table 5-D| MPTE Thresholds" sheetId="12" r:id="rId13"/>
    <sheet name="Section 6| Source Class" sheetId="26" r:id="rId14"/>
    <sheet name="Table 6-A| Controls &amp; Limits" sheetId="31" r:id="rId15"/>
    <sheet name="Table 6-B| Emission Limits" sheetId="41" r:id="rId16"/>
    <sheet name="Table 7-A| Primary APTE" sheetId="27" r:id="rId17"/>
    <sheet name="Table 7-B| APTE VOC" sheetId="28" r:id="rId18"/>
    <sheet name="Table 7-C| APTE HAP" sheetId="33" r:id="rId19"/>
    <sheet name="Table 7-D| APTE Thresholds" sheetId="30" r:id="rId20"/>
    <sheet name="Section 8| Applicable Rules" sheetId="42" r:id="rId21"/>
    <sheet name="Section 9| Compliance Plan" sheetId="38" r:id="rId22"/>
    <sheet name="Table 9-A| Compliance Schedule" sheetId="37" r:id="rId23"/>
    <sheet name="Application Checklist" sheetId="39" r:id="rId24"/>
    <sheet name="GWPs" sheetId="11" r:id="rId25"/>
    <sheet name="HAP CAS &amp; Names" sheetId="13" r:id="rId26"/>
    <sheet name="2012NAICS" sheetId="20" r:id="rId27"/>
    <sheet name="Emission Controls" sheetId="32" r:id="rId28"/>
  </sheets>
  <definedNames>
    <definedName name="_ftnref1" localSheetId="27">'Emission Controls'!#REF!</definedName>
    <definedName name="_ftnref2" localSheetId="27">'Emission Controls'!#REF!</definedName>
    <definedName name="_ftnref3" localSheetId="27">'Emission Controls'!#REF!</definedName>
    <definedName name="_ftnref4" localSheetId="27">'Emission Controls'!#REF!</definedName>
    <definedName name="_ftnref5" localSheetId="27">'Emission Controls'!#REF!</definedName>
    <definedName name="_ftnref6" localSheetId="27">'Emission Controls'!#REF!</definedName>
    <definedName name="_xlnm.Print_Area" localSheetId="26">'2012NAICS'!$A$1:$B$1067</definedName>
    <definedName name="_xlnm.Print_Area" localSheetId="23">'Application Checklist'!$A$7:$F$35</definedName>
    <definedName name="_xlnm.Print_Area" localSheetId="27">'Emission Controls'!$A$1:$L$33</definedName>
    <definedName name="_xlnm.Print_Area" localSheetId="24">GWPs!$A$1:$E$44</definedName>
    <definedName name="_xlnm.Print_Area" localSheetId="25">'HAP CAS &amp; Names'!$B$3:$D$186</definedName>
    <definedName name="_xlnm.Print_Area" localSheetId="0">Introduction!$B$2:$K$20</definedName>
    <definedName name="_xlnm.Print_Area" localSheetId="1">'Section 1| General Information'!$A$1:$F$71</definedName>
    <definedName name="_xlnm.Print_Area" localSheetId="2">'Section 2| Source Information'!$A$1:$G$44</definedName>
    <definedName name="_xlnm.Print_Area" localSheetId="5">'Section 4 Instructions'!$A$1:$R$68</definedName>
    <definedName name="_xlnm.Print_Area" localSheetId="13">'Section 6| Source Class'!$A$1:$F$30</definedName>
    <definedName name="_xlnm.Print_Area" localSheetId="20">'Section 8| Applicable Rules'!$A$20:$F$128</definedName>
    <definedName name="_xlnm.Print_Area" localSheetId="21">'Section 9| Compliance Plan'!$A$8:$F$31</definedName>
    <definedName name="_xlnm.Print_Area" localSheetId="3">'Table 3-A| Emission Units'!$A$97:$E$166</definedName>
    <definedName name="_xlnm.Print_Area" localSheetId="4">'Table 3-B| Stack Info'!$A$32:$L$93</definedName>
    <definedName name="_xlnm.Print_Area" localSheetId="6">'Table 4-A| Insignificant List'!$A$9:$B$52</definedName>
    <definedName name="_xlnm.Print_Area" localSheetId="7">'Table 4-B| Oil Storage'!$A$5:$E$48</definedName>
    <definedName name="_xlnm.Print_Area" localSheetId="8">'Table 4-C| Cooling Towers'!$A$6:$G$51</definedName>
    <definedName name="_xlnm.Print_Area" localSheetId="9">'Table 5-A| Primary MPTE'!$A$39:$O$108</definedName>
    <definedName name="_xlnm.Print_Area" localSheetId="10">'Table 5-B| MPTE VOC'!$A$24:$K$62</definedName>
    <definedName name="_xlnm.Print_Area" localSheetId="11">'Table 5-C| MPTE HAP'!$A$32:$L$69</definedName>
    <definedName name="_xlnm.Print_Area" localSheetId="12">'Table 5-D| MPTE Thresholds'!$A$7:$F$26</definedName>
    <definedName name="_xlnm.Print_Area" localSheetId="14">'Table 6-A| Controls &amp; Limits'!$A$15:$J$65</definedName>
    <definedName name="_xlnm.Print_Area" localSheetId="15">'Table 6-B| Emission Limits'!$A$18:$N$57</definedName>
    <definedName name="_xlnm.Print_Area" localSheetId="16">'Table 7-A| Primary APTE'!$A$7:$M$75</definedName>
    <definedName name="_xlnm.Print_Area" localSheetId="17">'Table 7-B| APTE VOC'!$A$17:$L$55</definedName>
    <definedName name="_xlnm.Print_Area" localSheetId="18">'Table 7-C| APTE HAP'!$A$23:$L$60</definedName>
    <definedName name="_xlnm.Print_Area" localSheetId="19">'Table 7-D| APTE Thresholds'!$A$8:$F$27</definedName>
    <definedName name="_xlnm.Print_Area" localSheetId="22">'Table 9-A| Compliance Schedule'!$A$7:$F$188</definedName>
    <definedName name="_xlnm.Print_Titles" localSheetId="26">'2012NAICS'!$1:$1</definedName>
    <definedName name="_xlnm.Print_Titles" localSheetId="23">'Application Checklist'!$7:$8</definedName>
    <definedName name="_xlnm.Print_Titles" localSheetId="1">'Section 1| General Information'!$9:$9</definedName>
    <definedName name="_xlnm.Print_Titles" localSheetId="2">'Section 2| Source Information'!$1:$2</definedName>
    <definedName name="_xlnm.Print_Titles" localSheetId="20">'Section 8| Applicable Rules'!$20:$21</definedName>
    <definedName name="_xlnm.Print_Titles" localSheetId="21">'Section 9| Compliance Plan'!$8:$9</definedName>
    <definedName name="_xlnm.Print_Titles" localSheetId="3">'Table 3-A| Emission Units'!$97:$101</definedName>
    <definedName name="_xlnm.Print_Titles" localSheetId="4">'Table 3-B| Stack Info'!$32:$38</definedName>
    <definedName name="_xlnm.Print_Titles" localSheetId="6">'Table 4-A| Insignificant List'!$9:$13</definedName>
    <definedName name="_xlnm.Print_Titles" localSheetId="7">'Table 4-B| Oil Storage'!$5:$8</definedName>
    <definedName name="_xlnm.Print_Titles" localSheetId="8">'Table 4-C| Cooling Towers'!$6:$9</definedName>
    <definedName name="_xlnm.Print_Titles" localSheetId="9">'Table 5-A| Primary MPTE'!$39:$43</definedName>
    <definedName name="_xlnm.Print_Titles" localSheetId="10">'Table 5-B| MPTE VOC'!$24:$29</definedName>
    <definedName name="_xlnm.Print_Titles" localSheetId="11">'Table 5-C| MPTE HAP'!$32:$37</definedName>
    <definedName name="_xlnm.Print_Titles" localSheetId="12">'Table 5-D| MPTE Thresholds'!$7:$9</definedName>
    <definedName name="_xlnm.Print_Titles" localSheetId="14">'Table 6-A| Controls &amp; Limits'!$15:$19</definedName>
    <definedName name="_xlnm.Print_Titles" localSheetId="15">'Table 6-B| Emission Limits'!$29:$33</definedName>
    <definedName name="_xlnm.Print_Titles" localSheetId="16">'Table 7-A| Primary APTE'!$7:$11</definedName>
    <definedName name="_xlnm.Print_Titles" localSheetId="17">'Table 7-B| APTE VOC'!$17:$22</definedName>
    <definedName name="_xlnm.Print_Titles" localSheetId="18">'Table 7-C| APTE HAP'!$23:$28</definedName>
    <definedName name="_xlnm.Print_Titles" localSheetId="22">'Table 9-A| Compliance Schedule'!$7:$8</definedName>
    <definedName name="Text224" localSheetId="4">'Table 3-B| Stack Info'!#REF!</definedName>
    <definedName name="Text224" localSheetId="9">'Table 5-A| Primary MPTE'!#REF!</definedName>
    <definedName name="Text224" localSheetId="14">'Table 6-A| Controls &amp; Limits'!$A$24</definedName>
    <definedName name="Text224" localSheetId="15">'Table 6-B| Emission Limits'!#REF!</definedName>
    <definedName name="Text224" localSheetId="16">'Table 7-A| Primary APTE'!#REF!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7" l="1"/>
  <c r="F35" i="39"/>
  <c r="F31" i="38"/>
  <c r="F21" i="42"/>
  <c r="F10" i="30"/>
  <c r="L26" i="33"/>
  <c r="L20" i="28"/>
  <c r="M10" i="27"/>
  <c r="N30" i="41"/>
  <c r="N19" i="41"/>
  <c r="J18" i="31"/>
  <c r="F30" i="26"/>
  <c r="F9" i="12"/>
  <c r="L35" i="4"/>
  <c r="K27" i="2"/>
  <c r="O42" i="3"/>
  <c r="G8" i="25"/>
  <c r="E7" i="22"/>
  <c r="B12" i="9"/>
  <c r="L36" i="10"/>
  <c r="E99" i="8"/>
  <c r="G44" i="21"/>
  <c r="F71" i="18"/>
  <c r="A32" i="39"/>
  <c r="Q39" i="42"/>
  <c r="Q38" i="42"/>
  <c r="E38" i="42"/>
  <c r="Q37" i="42"/>
  <c r="E37" i="42"/>
  <c r="Q36" i="42"/>
  <c r="E36" i="42"/>
  <c r="Q35" i="42"/>
  <c r="Q34" i="42"/>
  <c r="Q33" i="42"/>
  <c r="E33" i="42"/>
  <c r="Q32" i="42"/>
  <c r="Q31" i="42"/>
  <c r="Q30" i="42"/>
  <c r="E30" i="42"/>
  <c r="Q29" i="42"/>
  <c r="Q28" i="42"/>
  <c r="Q27" i="42"/>
  <c r="Q26" i="42"/>
  <c r="Q25" i="42"/>
  <c r="E25" i="42"/>
  <c r="O5" i="8"/>
  <c r="P5" i="8"/>
  <c r="M119" i="8"/>
  <c r="A119" i="8"/>
  <c r="D119" i="8"/>
  <c r="F5" i="8"/>
  <c r="C132" i="8"/>
  <c r="B74" i="3" s="1"/>
  <c r="O7" i="8"/>
  <c r="P7" i="8"/>
  <c r="M132" i="8"/>
  <c r="A132" i="8"/>
  <c r="A74" i="3"/>
  <c r="E74" i="3"/>
  <c r="C131" i="8"/>
  <c r="B73" i="3" s="1"/>
  <c r="M131" i="8"/>
  <c r="A131" i="8"/>
  <c r="A73" i="3"/>
  <c r="E73" i="3"/>
  <c r="C130" i="8"/>
  <c r="B72" i="3" s="1"/>
  <c r="AH72" i="3" s="1"/>
  <c r="X72" i="3" s="1"/>
  <c r="L72" i="3" s="1"/>
  <c r="M130" i="8"/>
  <c r="A130" i="8"/>
  <c r="A72" i="3"/>
  <c r="E72" i="3"/>
  <c r="C129" i="8"/>
  <c r="M129" i="8"/>
  <c r="A129" i="8"/>
  <c r="A71" i="3"/>
  <c r="E71" i="3"/>
  <c r="C128" i="8"/>
  <c r="D128" i="8" s="1"/>
  <c r="B65" i="10" s="1"/>
  <c r="M128" i="8"/>
  <c r="A128" i="8"/>
  <c r="A70" i="3"/>
  <c r="E70" i="3"/>
  <c r="F78" i="8"/>
  <c r="E84" i="3"/>
  <c r="E83" i="3"/>
  <c r="E82" i="3"/>
  <c r="E81" i="3"/>
  <c r="E80" i="3"/>
  <c r="E79" i="3"/>
  <c r="E78" i="3"/>
  <c r="E77" i="3"/>
  <c r="E76" i="3"/>
  <c r="L84" i="31"/>
  <c r="L83" i="31"/>
  <c r="L82" i="31"/>
  <c r="L81" i="31"/>
  <c r="L80" i="31"/>
  <c r="L79" i="31"/>
  <c r="L78" i="31"/>
  <c r="L77" i="31"/>
  <c r="L76" i="31"/>
  <c r="L75" i="31"/>
  <c r="L74" i="31"/>
  <c r="L73" i="31"/>
  <c r="L72" i="31"/>
  <c r="L71" i="31"/>
  <c r="L70" i="31"/>
  <c r="L69" i="31"/>
  <c r="L68" i="31"/>
  <c r="L67" i="31"/>
  <c r="L66" i="31"/>
  <c r="L65" i="31"/>
  <c r="L64" i="31"/>
  <c r="L63" i="31"/>
  <c r="L62" i="31"/>
  <c r="L61" i="31"/>
  <c r="L60" i="31"/>
  <c r="L59" i="31"/>
  <c r="L58" i="31"/>
  <c r="L57" i="31"/>
  <c r="L56" i="31"/>
  <c r="L55" i="31"/>
  <c r="L54" i="31"/>
  <c r="L53" i="31"/>
  <c r="L52" i="31"/>
  <c r="L50" i="31"/>
  <c r="L49" i="31"/>
  <c r="L48" i="31"/>
  <c r="L47" i="31"/>
  <c r="L46" i="31"/>
  <c r="L44" i="31"/>
  <c r="L43" i="31"/>
  <c r="L42" i="31"/>
  <c r="L41" i="31"/>
  <c r="L40" i="31"/>
  <c r="L39" i="31"/>
  <c r="L35" i="31"/>
  <c r="L34" i="31"/>
  <c r="L33" i="31"/>
  <c r="L32" i="31"/>
  <c r="L31" i="31"/>
  <c r="L30" i="31"/>
  <c r="L29" i="31"/>
  <c r="L28" i="31"/>
  <c r="L27" i="31"/>
  <c r="L26" i="31"/>
  <c r="L25" i="31"/>
  <c r="L24" i="31"/>
  <c r="L23" i="31"/>
  <c r="L22" i="31"/>
  <c r="L21" i="31"/>
  <c r="D76" i="27"/>
  <c r="D75" i="27"/>
  <c r="D74" i="27"/>
  <c r="D73" i="27"/>
  <c r="D72" i="27"/>
  <c r="D71" i="27"/>
  <c r="D70" i="27"/>
  <c r="D69" i="27"/>
  <c r="D68" i="27"/>
  <c r="D67" i="27"/>
  <c r="D66" i="27"/>
  <c r="D65" i="27"/>
  <c r="D64" i="27"/>
  <c r="D63" i="27"/>
  <c r="D62" i="27"/>
  <c r="D61" i="27"/>
  <c r="D60" i="27"/>
  <c r="D59" i="27"/>
  <c r="D58" i="27"/>
  <c r="D57" i="27"/>
  <c r="D56" i="27"/>
  <c r="D55" i="27"/>
  <c r="D54" i="27"/>
  <c r="D53" i="27"/>
  <c r="D52" i="27"/>
  <c r="D51" i="27"/>
  <c r="D50" i="27"/>
  <c r="D49" i="27"/>
  <c r="D48" i="27"/>
  <c r="D47" i="27"/>
  <c r="D46" i="27"/>
  <c r="D45" i="27"/>
  <c r="D44" i="27"/>
  <c r="E105" i="3"/>
  <c r="D81" i="31"/>
  <c r="C73" i="27"/>
  <c r="E104" i="3"/>
  <c r="D80" i="31"/>
  <c r="C72" i="27"/>
  <c r="E103" i="3"/>
  <c r="D79" i="31"/>
  <c r="C71" i="27"/>
  <c r="E102" i="3"/>
  <c r="D78" i="31"/>
  <c r="C70" i="27"/>
  <c r="E97" i="3"/>
  <c r="D73" i="31"/>
  <c r="C65" i="27"/>
  <c r="E96" i="3"/>
  <c r="D72" i="31"/>
  <c r="C64" i="27"/>
  <c r="E95" i="3"/>
  <c r="D71" i="31"/>
  <c r="C63" i="27"/>
  <c r="E94" i="3"/>
  <c r="D70" i="31"/>
  <c r="C62" i="27"/>
  <c r="E89" i="3"/>
  <c r="D65" i="31"/>
  <c r="C57" i="27"/>
  <c r="E88" i="3"/>
  <c r="D64" i="31"/>
  <c r="C56" i="27"/>
  <c r="E87" i="3"/>
  <c r="D63" i="31"/>
  <c r="C55" i="27"/>
  <c r="E86" i="3"/>
  <c r="D62" i="31"/>
  <c r="C54" i="27"/>
  <c r="D57" i="31"/>
  <c r="C49" i="27"/>
  <c r="D56" i="31"/>
  <c r="C48" i="27"/>
  <c r="D55" i="31"/>
  <c r="C47" i="27"/>
  <c r="D54" i="31"/>
  <c r="C46" i="27"/>
  <c r="F84" i="31"/>
  <c r="F83" i="31"/>
  <c r="F82" i="31"/>
  <c r="F81" i="31"/>
  <c r="F80" i="31"/>
  <c r="F79" i="31"/>
  <c r="F78" i="31"/>
  <c r="F77" i="31"/>
  <c r="F76" i="31"/>
  <c r="F75" i="31"/>
  <c r="F74" i="31"/>
  <c r="F73" i="31"/>
  <c r="F72" i="31"/>
  <c r="F71" i="31"/>
  <c r="F70" i="31"/>
  <c r="F69" i="31"/>
  <c r="F68" i="31"/>
  <c r="F67" i="31"/>
  <c r="F66" i="31"/>
  <c r="F65" i="31"/>
  <c r="F64" i="31"/>
  <c r="F63" i="31"/>
  <c r="F62" i="31"/>
  <c r="F61" i="31"/>
  <c r="F60" i="31"/>
  <c r="F59" i="31"/>
  <c r="F58" i="31"/>
  <c r="F57" i="31"/>
  <c r="F56" i="31"/>
  <c r="F55" i="31"/>
  <c r="F54" i="31"/>
  <c r="F53" i="31"/>
  <c r="F52" i="31"/>
  <c r="A60" i="3"/>
  <c r="A36" i="31"/>
  <c r="K28" i="31"/>
  <c r="K24" i="31"/>
  <c r="K42" i="31"/>
  <c r="K84" i="31"/>
  <c r="K83" i="31"/>
  <c r="B107" i="3"/>
  <c r="B83" i="31"/>
  <c r="A107" i="3"/>
  <c r="A83" i="31"/>
  <c r="K82" i="31"/>
  <c r="K81" i="31"/>
  <c r="K80" i="31"/>
  <c r="K79" i="31"/>
  <c r="A103" i="3"/>
  <c r="A79" i="31"/>
  <c r="K78" i="31"/>
  <c r="A102" i="3"/>
  <c r="A78" i="31"/>
  <c r="K77" i="31"/>
  <c r="B101" i="3"/>
  <c r="B77" i="31"/>
  <c r="K76" i="31"/>
  <c r="K75" i="31"/>
  <c r="B99" i="3"/>
  <c r="B75" i="31"/>
  <c r="A99" i="3"/>
  <c r="A75" i="31"/>
  <c r="K74" i="31"/>
  <c r="K73" i="31"/>
  <c r="K72" i="31"/>
  <c r="K71" i="31"/>
  <c r="A95" i="3"/>
  <c r="A71" i="31"/>
  <c r="K70" i="31"/>
  <c r="A94" i="3"/>
  <c r="A70" i="31"/>
  <c r="K69" i="31"/>
  <c r="B93" i="3"/>
  <c r="B69" i="31"/>
  <c r="K68" i="31"/>
  <c r="K67" i="31"/>
  <c r="B91" i="3"/>
  <c r="B67" i="31"/>
  <c r="A91" i="3"/>
  <c r="A67" i="31"/>
  <c r="K66" i="31"/>
  <c r="B87" i="3"/>
  <c r="B63" i="31"/>
  <c r="A87" i="3"/>
  <c r="A63" i="31"/>
  <c r="B83" i="3"/>
  <c r="B59" i="31"/>
  <c r="B75" i="27"/>
  <c r="B106" i="3"/>
  <c r="B74" i="27"/>
  <c r="B105" i="3"/>
  <c r="B73" i="27"/>
  <c r="B67" i="27"/>
  <c r="B98" i="3"/>
  <c r="B66" i="27"/>
  <c r="B97" i="3"/>
  <c r="B65" i="27"/>
  <c r="B59" i="27"/>
  <c r="B90" i="3"/>
  <c r="B58" i="27"/>
  <c r="B89" i="3"/>
  <c r="B57" i="27"/>
  <c r="AO55" i="27"/>
  <c r="AO87" i="3"/>
  <c r="A75" i="27"/>
  <c r="A70" i="27"/>
  <c r="A67" i="27"/>
  <c r="A62" i="27"/>
  <c r="A59" i="27"/>
  <c r="A86" i="3"/>
  <c r="A54" i="27"/>
  <c r="M75" i="3"/>
  <c r="M43" i="27"/>
  <c r="L75" i="3"/>
  <c r="L43" i="27"/>
  <c r="G75" i="3"/>
  <c r="G43" i="27"/>
  <c r="E75" i="3"/>
  <c r="E43" i="27"/>
  <c r="D75" i="3"/>
  <c r="D43" i="27"/>
  <c r="C75" i="3"/>
  <c r="C43" i="27"/>
  <c r="M69" i="3"/>
  <c r="M37" i="27"/>
  <c r="K69" i="3"/>
  <c r="K37" i="27"/>
  <c r="J69" i="3"/>
  <c r="J37" i="27"/>
  <c r="I69" i="3"/>
  <c r="I37" i="27"/>
  <c r="H69" i="3"/>
  <c r="H37" i="27"/>
  <c r="E69" i="3"/>
  <c r="E37" i="27"/>
  <c r="C69" i="3"/>
  <c r="C37" i="27"/>
  <c r="B69" i="3"/>
  <c r="B37" i="27"/>
  <c r="A69" i="3"/>
  <c r="A37" i="27"/>
  <c r="M62" i="3"/>
  <c r="M30" i="27"/>
  <c r="J62" i="3"/>
  <c r="J30" i="27"/>
  <c r="E62" i="3"/>
  <c r="E30" i="27"/>
  <c r="B62" i="3"/>
  <c r="B30" i="27"/>
  <c r="L60" i="3"/>
  <c r="L28" i="27"/>
  <c r="K60" i="3"/>
  <c r="K28" i="27"/>
  <c r="J60" i="3"/>
  <c r="J28" i="27"/>
  <c r="D60" i="3"/>
  <c r="D28" i="27"/>
  <c r="C60" i="3"/>
  <c r="C28" i="27"/>
  <c r="B60" i="3"/>
  <c r="B28" i="27"/>
  <c r="C67" i="3"/>
  <c r="C65" i="3"/>
  <c r="C63" i="3"/>
  <c r="C61" i="3"/>
  <c r="C57" i="3"/>
  <c r="C54" i="3"/>
  <c r="C51" i="3"/>
  <c r="C48" i="3"/>
  <c r="C45" i="3"/>
  <c r="AU86" i="3"/>
  <c r="AU80" i="3"/>
  <c r="AU60" i="3"/>
  <c r="AU76" i="3"/>
  <c r="AU75" i="3"/>
  <c r="AU74" i="3"/>
  <c r="AU73" i="3"/>
  <c r="AU59" i="3"/>
  <c r="AU58" i="3"/>
  <c r="AU57" i="3"/>
  <c r="AU56" i="3"/>
  <c r="AU72" i="3"/>
  <c r="AU71" i="3"/>
  <c r="AU55" i="3"/>
  <c r="AU54" i="3"/>
  <c r="AU70" i="3"/>
  <c r="AU69" i="3"/>
  <c r="AU68" i="3"/>
  <c r="AU53" i="3"/>
  <c r="AU52" i="3"/>
  <c r="AU51" i="3"/>
  <c r="AU67" i="3"/>
  <c r="AU66" i="3"/>
  <c r="AU65" i="3"/>
  <c r="AU50" i="3"/>
  <c r="AU49" i="3"/>
  <c r="AU48" i="3"/>
  <c r="AU64" i="3"/>
  <c r="AU63" i="3"/>
  <c r="AU62" i="3"/>
  <c r="AU47" i="3"/>
  <c r="AU46" i="3"/>
  <c r="AU45" i="3"/>
  <c r="AU61" i="3"/>
  <c r="AU44" i="3"/>
  <c r="E108" i="3"/>
  <c r="D84" i="31"/>
  <c r="C76" i="27"/>
  <c r="E107" i="3"/>
  <c r="D83" i="31"/>
  <c r="C75" i="27"/>
  <c r="E106" i="3"/>
  <c r="D82" i="31"/>
  <c r="C74" i="27"/>
  <c r="E101" i="3"/>
  <c r="D77" i="31"/>
  <c r="C69" i="27"/>
  <c r="E100" i="3"/>
  <c r="D76" i="31"/>
  <c r="C68" i="27"/>
  <c r="E99" i="3"/>
  <c r="D75" i="31"/>
  <c r="C67" i="27"/>
  <c r="E98" i="3"/>
  <c r="D74" i="31"/>
  <c r="C66" i="27"/>
  <c r="E93" i="3"/>
  <c r="D69" i="31"/>
  <c r="C61" i="27"/>
  <c r="E92" i="3"/>
  <c r="D68" i="31"/>
  <c r="C60" i="27"/>
  <c r="E91" i="3"/>
  <c r="D67" i="31"/>
  <c r="C59" i="27"/>
  <c r="E90" i="3"/>
  <c r="D66" i="31"/>
  <c r="C58" i="27"/>
  <c r="E85" i="3"/>
  <c r="D61" i="31"/>
  <c r="C53" i="27"/>
  <c r="D60" i="31"/>
  <c r="C52" i="27"/>
  <c r="D59" i="31"/>
  <c r="C51" i="27"/>
  <c r="D58" i="31"/>
  <c r="C50" i="27"/>
  <c r="D53" i="31"/>
  <c r="C45" i="27"/>
  <c r="B108" i="3"/>
  <c r="B84" i="31"/>
  <c r="A108" i="3"/>
  <c r="A76" i="27"/>
  <c r="B82" i="31"/>
  <c r="A106" i="3"/>
  <c r="A74" i="27"/>
  <c r="B81" i="31"/>
  <c r="A105" i="3"/>
  <c r="A73" i="27"/>
  <c r="B104" i="3"/>
  <c r="B72" i="27"/>
  <c r="A104" i="3"/>
  <c r="A72" i="27"/>
  <c r="B103" i="3"/>
  <c r="B79" i="31"/>
  <c r="A71" i="27"/>
  <c r="B102" i="3"/>
  <c r="B70" i="27"/>
  <c r="B69" i="27"/>
  <c r="A101" i="3"/>
  <c r="A77" i="31"/>
  <c r="B100" i="3"/>
  <c r="B76" i="31"/>
  <c r="A100" i="3"/>
  <c r="A68" i="27"/>
  <c r="B74" i="31"/>
  <c r="A98" i="3"/>
  <c r="A66" i="27"/>
  <c r="B73" i="31"/>
  <c r="A97" i="3"/>
  <c r="A65" i="27"/>
  <c r="B96" i="3"/>
  <c r="B64" i="27"/>
  <c r="A96" i="3"/>
  <c r="A64" i="27"/>
  <c r="B95" i="3"/>
  <c r="B71" i="31"/>
  <c r="A63" i="27"/>
  <c r="B94" i="3"/>
  <c r="B62" i="27"/>
  <c r="B61" i="27"/>
  <c r="A93" i="3"/>
  <c r="A69" i="31"/>
  <c r="B92" i="3"/>
  <c r="B68" i="31"/>
  <c r="A92" i="3"/>
  <c r="A68" i="31"/>
  <c r="B66" i="31"/>
  <c r="A90" i="3"/>
  <c r="A58" i="27"/>
  <c r="B65" i="31"/>
  <c r="A89" i="3"/>
  <c r="A57" i="27"/>
  <c r="B88" i="3"/>
  <c r="B56" i="27"/>
  <c r="A88" i="3"/>
  <c r="A56" i="27"/>
  <c r="B55" i="27"/>
  <c r="A55" i="27"/>
  <c r="B86" i="3"/>
  <c r="B62" i="31"/>
  <c r="A62" i="31"/>
  <c r="B85" i="3"/>
  <c r="B61" i="31"/>
  <c r="A85" i="3"/>
  <c r="A61" i="31"/>
  <c r="B84" i="3"/>
  <c r="A84" i="3"/>
  <c r="A60" i="31"/>
  <c r="A83" i="3"/>
  <c r="A59" i="31"/>
  <c r="B82" i="3"/>
  <c r="A82" i="3"/>
  <c r="A50" i="27"/>
  <c r="B81" i="3"/>
  <c r="A81" i="3"/>
  <c r="A49" i="27"/>
  <c r="B80" i="3"/>
  <c r="A80" i="3"/>
  <c r="A48" i="27"/>
  <c r="B79" i="3"/>
  <c r="A79" i="3"/>
  <c r="A47" i="27"/>
  <c r="B78" i="3"/>
  <c r="A78" i="3"/>
  <c r="A54" i="31"/>
  <c r="B77" i="3"/>
  <c r="A77" i="3"/>
  <c r="A45" i="27"/>
  <c r="B76" i="3"/>
  <c r="A76" i="3"/>
  <c r="A52" i="31"/>
  <c r="O75" i="3"/>
  <c r="N75" i="3"/>
  <c r="K75" i="3"/>
  <c r="K43" i="27"/>
  <c r="J75" i="3"/>
  <c r="J43" i="27"/>
  <c r="I75" i="3"/>
  <c r="I43" i="27"/>
  <c r="H75" i="3"/>
  <c r="H43" i="27"/>
  <c r="F75" i="3"/>
  <c r="F43" i="27"/>
  <c r="B75" i="3"/>
  <c r="B43" i="27"/>
  <c r="A75" i="3"/>
  <c r="A43" i="27"/>
  <c r="O69" i="3"/>
  <c r="N69" i="3"/>
  <c r="L69" i="3"/>
  <c r="L37" i="27"/>
  <c r="G69" i="3"/>
  <c r="G37" i="27"/>
  <c r="F69" i="3"/>
  <c r="F37" i="27"/>
  <c r="D69" i="3"/>
  <c r="D37" i="27"/>
  <c r="A45" i="31"/>
  <c r="O62" i="3"/>
  <c r="N62" i="3"/>
  <c r="L62" i="3"/>
  <c r="L30" i="27"/>
  <c r="K62" i="3"/>
  <c r="K30" i="27"/>
  <c r="I62" i="3"/>
  <c r="I30" i="27"/>
  <c r="H62" i="3"/>
  <c r="H30" i="27"/>
  <c r="G62" i="3"/>
  <c r="G30" i="27"/>
  <c r="F62" i="3"/>
  <c r="F30" i="27"/>
  <c r="D62" i="3"/>
  <c r="D30" i="27"/>
  <c r="C62" i="3"/>
  <c r="C30" i="27"/>
  <c r="A62" i="3"/>
  <c r="A30" i="27"/>
  <c r="O60" i="3"/>
  <c r="N60" i="3"/>
  <c r="M60" i="3"/>
  <c r="M28" i="27"/>
  <c r="I60" i="3"/>
  <c r="I28" i="27"/>
  <c r="H60" i="3"/>
  <c r="H28" i="27"/>
  <c r="G60" i="3"/>
  <c r="G28" i="27"/>
  <c r="F60" i="3"/>
  <c r="F28" i="27"/>
  <c r="E60" i="3"/>
  <c r="E28" i="27"/>
  <c r="A28" i="27"/>
  <c r="B44" i="27"/>
  <c r="B48" i="27"/>
  <c r="B60" i="31"/>
  <c r="B54" i="31"/>
  <c r="B47" i="27"/>
  <c r="B58" i="31"/>
  <c r="B51" i="27"/>
  <c r="B53" i="31"/>
  <c r="B57" i="31"/>
  <c r="B49" i="27"/>
  <c r="B50" i="27"/>
  <c r="B55" i="31"/>
  <c r="A46" i="27"/>
  <c r="A51" i="27"/>
  <c r="A55" i="31"/>
  <c r="J58" i="27"/>
  <c r="I58" i="27"/>
  <c r="H58" i="27"/>
  <c r="G58" i="27"/>
  <c r="M58" i="27"/>
  <c r="E58" i="27"/>
  <c r="L58" i="27"/>
  <c r="F58" i="27"/>
  <c r="K58" i="27"/>
  <c r="A72" i="31"/>
  <c r="A60" i="27"/>
  <c r="G69" i="27"/>
  <c r="M69" i="27"/>
  <c r="L69" i="27"/>
  <c r="F69" i="27"/>
  <c r="E69" i="27"/>
  <c r="J69" i="27"/>
  <c r="I69" i="27"/>
  <c r="H69" i="27"/>
  <c r="K69" i="27"/>
  <c r="A53" i="27"/>
  <c r="A56" i="31"/>
  <c r="L64" i="27"/>
  <c r="J64" i="27"/>
  <c r="I64" i="27"/>
  <c r="K64" i="27"/>
  <c r="G64" i="27"/>
  <c r="F64" i="27"/>
  <c r="M64" i="27"/>
  <c r="E64" i="27"/>
  <c r="H64" i="27"/>
  <c r="B52" i="27"/>
  <c r="B60" i="27"/>
  <c r="B68" i="27"/>
  <c r="B76" i="27"/>
  <c r="B56" i="31"/>
  <c r="B64" i="31"/>
  <c r="I59" i="27"/>
  <c r="G59" i="27"/>
  <c r="F59" i="27"/>
  <c r="H59" i="27"/>
  <c r="L59" i="27"/>
  <c r="K59" i="27"/>
  <c r="E59" i="27"/>
  <c r="M59" i="27"/>
  <c r="J59" i="27"/>
  <c r="B70" i="31"/>
  <c r="A73" i="31"/>
  <c r="I67" i="27"/>
  <c r="H67" i="27"/>
  <c r="G67" i="27"/>
  <c r="F67" i="27"/>
  <c r="L67" i="27"/>
  <c r="K67" i="27"/>
  <c r="J67" i="27"/>
  <c r="E67" i="27"/>
  <c r="M67" i="27"/>
  <c r="B78" i="31"/>
  <c r="A81" i="31"/>
  <c r="I75" i="27"/>
  <c r="G75" i="27"/>
  <c r="F75" i="27"/>
  <c r="M75" i="27"/>
  <c r="H75" i="27"/>
  <c r="E75" i="27"/>
  <c r="L75" i="27"/>
  <c r="K75" i="27"/>
  <c r="J75" i="27"/>
  <c r="A38" i="31"/>
  <c r="B45" i="27"/>
  <c r="B53" i="27"/>
  <c r="A53" i="31"/>
  <c r="A57" i="31"/>
  <c r="A65" i="31"/>
  <c r="F62" i="27"/>
  <c r="L62" i="27"/>
  <c r="K62" i="27"/>
  <c r="M62" i="27"/>
  <c r="E62" i="27"/>
  <c r="I62" i="27"/>
  <c r="H62" i="27"/>
  <c r="J62" i="27"/>
  <c r="G62" i="27"/>
  <c r="A76" i="31"/>
  <c r="F70" i="27"/>
  <c r="M70" i="27"/>
  <c r="E70" i="27"/>
  <c r="L70" i="27"/>
  <c r="K70" i="27"/>
  <c r="I70" i="27"/>
  <c r="H70" i="27"/>
  <c r="G70" i="27"/>
  <c r="J70" i="27"/>
  <c r="A84" i="31"/>
  <c r="J66" i="27"/>
  <c r="H66" i="27"/>
  <c r="G66" i="27"/>
  <c r="I66" i="27"/>
  <c r="M66" i="27"/>
  <c r="E66" i="27"/>
  <c r="L66" i="27"/>
  <c r="K66" i="27"/>
  <c r="F66" i="27"/>
  <c r="A80" i="31"/>
  <c r="A52" i="27"/>
  <c r="B72" i="31"/>
  <c r="B80" i="31"/>
  <c r="A61" i="27"/>
  <c r="A64" i="31"/>
  <c r="L72" i="27"/>
  <c r="K72" i="27"/>
  <c r="J72" i="27"/>
  <c r="I72" i="27"/>
  <c r="H72" i="27"/>
  <c r="G72" i="27"/>
  <c r="F72" i="27"/>
  <c r="M72" i="27"/>
  <c r="E72" i="27"/>
  <c r="B54" i="27"/>
  <c r="K73" i="27"/>
  <c r="I73" i="27"/>
  <c r="H73" i="27"/>
  <c r="G73" i="27"/>
  <c r="J73" i="27"/>
  <c r="F73" i="27"/>
  <c r="M73" i="27"/>
  <c r="E73" i="27"/>
  <c r="L73" i="27"/>
  <c r="A51" i="31"/>
  <c r="B63" i="27"/>
  <c r="B71" i="27"/>
  <c r="A58" i="31"/>
  <c r="A66" i="31"/>
  <c r="H60" i="27"/>
  <c r="M60" i="27"/>
  <c r="G60" i="27"/>
  <c r="F60" i="27"/>
  <c r="E60" i="27"/>
  <c r="K60" i="27"/>
  <c r="J60" i="27"/>
  <c r="L60" i="27"/>
  <c r="I60" i="27"/>
  <c r="A74" i="31"/>
  <c r="H68" i="27"/>
  <c r="F68" i="27"/>
  <c r="E68" i="27"/>
  <c r="G68" i="27"/>
  <c r="M68" i="27"/>
  <c r="K68" i="27"/>
  <c r="J68" i="27"/>
  <c r="I68" i="27"/>
  <c r="L68" i="27"/>
  <c r="A82" i="31"/>
  <c r="H76" i="27"/>
  <c r="F76" i="27"/>
  <c r="L76" i="27"/>
  <c r="G76" i="27"/>
  <c r="M76" i="27"/>
  <c r="E76" i="27"/>
  <c r="K76" i="27"/>
  <c r="J76" i="27"/>
  <c r="I76" i="27"/>
  <c r="J74" i="27"/>
  <c r="F74" i="27"/>
  <c r="I74" i="27"/>
  <c r="H74" i="27"/>
  <c r="G74" i="27"/>
  <c r="M74" i="27"/>
  <c r="E74" i="27"/>
  <c r="L74" i="27"/>
  <c r="K74" i="27"/>
  <c r="G61" i="27"/>
  <c r="E61" i="27"/>
  <c r="F61" i="27"/>
  <c r="M61" i="27"/>
  <c r="L61" i="27"/>
  <c r="J61" i="27"/>
  <c r="I61" i="27"/>
  <c r="K61" i="27"/>
  <c r="H61" i="27"/>
  <c r="A69" i="27"/>
  <c r="B46" i="27"/>
  <c r="K65" i="27"/>
  <c r="J65" i="27"/>
  <c r="I65" i="27"/>
  <c r="H65" i="27"/>
  <c r="F65" i="27"/>
  <c r="M65" i="27"/>
  <c r="E65" i="27"/>
  <c r="L65" i="27"/>
  <c r="G65" i="27"/>
  <c r="M63" i="27"/>
  <c r="E63" i="27"/>
  <c r="L63" i="27"/>
  <c r="K63" i="27"/>
  <c r="J63" i="27"/>
  <c r="H63" i="27"/>
  <c r="G63" i="27"/>
  <c r="I63" i="27"/>
  <c r="F63" i="27"/>
  <c r="M71" i="27"/>
  <c r="E71" i="27"/>
  <c r="K71" i="27"/>
  <c r="J71" i="27"/>
  <c r="L71" i="27"/>
  <c r="H71" i="27"/>
  <c r="G71" i="27"/>
  <c r="F71" i="27"/>
  <c r="I71" i="27"/>
  <c r="B52" i="31"/>
  <c r="A44" i="27"/>
  <c r="A70" i="10"/>
  <c r="J69" i="10"/>
  <c r="J68" i="10"/>
  <c r="J67" i="10"/>
  <c r="J66" i="10"/>
  <c r="J65" i="10"/>
  <c r="A64" i="10"/>
  <c r="J63" i="10"/>
  <c r="J62" i="10"/>
  <c r="J61" i="10"/>
  <c r="J60" i="10"/>
  <c r="J59" i="10"/>
  <c r="J58" i="10"/>
  <c r="A57" i="10"/>
  <c r="A55" i="10"/>
  <c r="J53" i="10"/>
  <c r="J52" i="10"/>
  <c r="J51" i="10"/>
  <c r="J50" i="10"/>
  <c r="J49" i="10"/>
  <c r="J48" i="10"/>
  <c r="J47" i="10"/>
  <c r="J46" i="10"/>
  <c r="J45" i="10"/>
  <c r="J44" i="10"/>
  <c r="A39" i="10"/>
  <c r="J56" i="10"/>
  <c r="J54" i="10"/>
  <c r="J43" i="10"/>
  <c r="J42" i="10"/>
  <c r="J41" i="10"/>
  <c r="J40" i="10"/>
  <c r="F82" i="8"/>
  <c r="F74" i="8"/>
  <c r="F70" i="8"/>
  <c r="F66" i="8"/>
  <c r="M61" i="8"/>
  <c r="M60" i="8"/>
  <c r="M56" i="8"/>
  <c r="M55" i="8"/>
  <c r="M51" i="8"/>
  <c r="M50" i="8"/>
  <c r="Q41" i="8"/>
  <c r="Q40" i="8"/>
  <c r="F41" i="8"/>
  <c r="L41" i="8"/>
  <c r="M41" i="8"/>
  <c r="L40" i="8"/>
  <c r="M40" i="8"/>
  <c r="L39" i="8"/>
  <c r="M39" i="8"/>
  <c r="L35" i="8"/>
  <c r="L34" i="8"/>
  <c r="L33" i="8"/>
  <c r="L29" i="8"/>
  <c r="L28" i="8"/>
  <c r="L27" i="8"/>
  <c r="L23" i="8"/>
  <c r="L22" i="8"/>
  <c r="L21" i="8"/>
  <c r="F36" i="8"/>
  <c r="Q35" i="8"/>
  <c r="F30" i="8"/>
  <c r="Q34" i="8"/>
  <c r="Q29" i="8"/>
  <c r="F24" i="8"/>
  <c r="Q28" i="8"/>
  <c r="Q23" i="8"/>
  <c r="F18" i="8"/>
  <c r="Q22" i="8"/>
  <c r="L17" i="8"/>
  <c r="L15" i="8"/>
  <c r="L16" i="8"/>
  <c r="V47" i="8"/>
  <c r="V41" i="8"/>
  <c r="Q17" i="8"/>
  <c r="Q16" i="8"/>
  <c r="M15" i="8"/>
  <c r="M16" i="8"/>
  <c r="M17" i="8"/>
  <c r="M23" i="8"/>
  <c r="M22" i="8"/>
  <c r="M21" i="8"/>
  <c r="F29" i="8"/>
  <c r="M29" i="8"/>
  <c r="M28" i="8"/>
  <c r="M27" i="8"/>
  <c r="F35" i="8"/>
  <c r="M35" i="8"/>
  <c r="M34" i="8"/>
  <c r="M33" i="8"/>
  <c r="F23" i="8"/>
  <c r="F17" i="8"/>
  <c r="F12" i="8"/>
  <c r="N117" i="8"/>
  <c r="N116" i="8"/>
  <c r="N115" i="8"/>
  <c r="N114" i="8"/>
  <c r="N113" i="8"/>
  <c r="N112" i="8"/>
  <c r="N111" i="8"/>
  <c r="N110" i="8"/>
  <c r="N109" i="8"/>
  <c r="N108" i="8"/>
  <c r="N107" i="8"/>
  <c r="N106" i="8"/>
  <c r="N105" i="8"/>
  <c r="N104" i="8"/>
  <c r="N103" i="8"/>
  <c r="E130" i="8"/>
  <c r="E132" i="8"/>
  <c r="B103" i="8"/>
  <c r="B117" i="8"/>
  <c r="B116" i="8"/>
  <c r="B115" i="8"/>
  <c r="B114" i="8"/>
  <c r="B113" i="8"/>
  <c r="B112" i="8"/>
  <c r="B111" i="8"/>
  <c r="B110" i="8"/>
  <c r="B109" i="8"/>
  <c r="B108" i="8"/>
  <c r="B107" i="8"/>
  <c r="B106" i="8"/>
  <c r="P3" i="8"/>
  <c r="N12" i="8"/>
  <c r="O4" i="8"/>
  <c r="P4" i="8"/>
  <c r="F4" i="8"/>
  <c r="N60" i="8"/>
  <c r="K60" i="8"/>
  <c r="C125" i="8" s="1"/>
  <c r="N61" i="8"/>
  <c r="K61" i="8"/>
  <c r="C126" i="8" s="1"/>
  <c r="N50" i="8"/>
  <c r="K50" i="8"/>
  <c r="C121" i="8" s="1"/>
  <c r="E121" i="8" s="1"/>
  <c r="N51" i="8"/>
  <c r="K51" i="8"/>
  <c r="C122" i="8" s="1"/>
  <c r="D122" i="8" s="1"/>
  <c r="B59" i="10" s="1"/>
  <c r="N56" i="8"/>
  <c r="K56" i="8"/>
  <c r="C124" i="8" s="1"/>
  <c r="N55" i="8"/>
  <c r="K55" i="8"/>
  <c r="C123" i="8" s="1"/>
  <c r="B65" i="3" s="1"/>
  <c r="N22" i="8"/>
  <c r="K22" i="8"/>
  <c r="C107" i="8" s="1"/>
  <c r="D107" i="8" s="1"/>
  <c r="B44" i="10" s="1"/>
  <c r="N28" i="8"/>
  <c r="N40" i="8"/>
  <c r="K40" i="8"/>
  <c r="C116" i="8" s="1"/>
  <c r="B58" i="3" s="1"/>
  <c r="AH58" i="3" s="1"/>
  <c r="X58" i="3" s="1"/>
  <c r="N27" i="8"/>
  <c r="K27" i="8"/>
  <c r="C109" i="8" s="1"/>
  <c r="N29" i="8"/>
  <c r="K29" i="8"/>
  <c r="C111" i="8" s="1"/>
  <c r="N39" i="8"/>
  <c r="K39" i="8"/>
  <c r="C115" i="8" s="1"/>
  <c r="N41" i="8"/>
  <c r="K41" i="8"/>
  <c r="C117" i="8" s="1"/>
  <c r="B59" i="3" s="1"/>
  <c r="AI59" i="3" s="1"/>
  <c r="Y59" i="3" s="1"/>
  <c r="N33" i="8"/>
  <c r="K33" i="8"/>
  <c r="C112" i="8" s="1"/>
  <c r="E112" i="8" s="1"/>
  <c r="N35" i="8"/>
  <c r="K35" i="8"/>
  <c r="C114" i="8" s="1"/>
  <c r="D114" i="8" s="1"/>
  <c r="B51" i="10" s="1"/>
  <c r="N21" i="8"/>
  <c r="K21" i="8"/>
  <c r="C106" i="8" s="1"/>
  <c r="N16" i="8"/>
  <c r="K16" i="8"/>
  <c r="C104" i="8" s="1"/>
  <c r="N34" i="8"/>
  <c r="K34" i="8"/>
  <c r="C113" i="8" s="1"/>
  <c r="B55" i="3" s="1"/>
  <c r="N17" i="8"/>
  <c r="K17" i="8"/>
  <c r="C105" i="8" s="1"/>
  <c r="B105" i="8"/>
  <c r="N23" i="8"/>
  <c r="K23" i="8"/>
  <c r="C108" i="8" s="1"/>
  <c r="D108" i="8" s="1"/>
  <c r="B45" i="10" s="1"/>
  <c r="N15" i="8"/>
  <c r="K15" i="8"/>
  <c r="C103" i="8" s="1"/>
  <c r="B45" i="3" s="1"/>
  <c r="AK45" i="3" s="1"/>
  <c r="AA45" i="3" s="1"/>
  <c r="M112" i="8"/>
  <c r="M109" i="8"/>
  <c r="M106" i="8"/>
  <c r="M103" i="8"/>
  <c r="M115" i="8"/>
  <c r="B104" i="8"/>
  <c r="N119" i="8"/>
  <c r="B119" i="8"/>
  <c r="K28" i="8"/>
  <c r="C110" i="8" s="1"/>
  <c r="A103" i="8"/>
  <c r="A40" i="10"/>
  <c r="A104" i="8"/>
  <c r="A105" i="8"/>
  <c r="A108" i="8"/>
  <c r="A50" i="3"/>
  <c r="A107" i="8"/>
  <c r="A49" i="3"/>
  <c r="A106" i="8"/>
  <c r="A48" i="3"/>
  <c r="E48" i="3"/>
  <c r="A115" i="8"/>
  <c r="A116" i="8"/>
  <c r="A117" i="8"/>
  <c r="A109" i="8"/>
  <c r="A51" i="3"/>
  <c r="E51" i="3"/>
  <c r="A111" i="8"/>
  <c r="A110" i="8"/>
  <c r="A52" i="3"/>
  <c r="A112" i="8"/>
  <c r="A113" i="8"/>
  <c r="A114" i="8"/>
  <c r="A61" i="3"/>
  <c r="A29" i="27"/>
  <c r="C119" i="8"/>
  <c r="B61" i="3"/>
  <c r="AI61" i="3"/>
  <c r="A19" i="27"/>
  <c r="A27" i="31"/>
  <c r="A16" i="27"/>
  <c r="A24" i="31"/>
  <c r="A17" i="27"/>
  <c r="A25" i="31"/>
  <c r="A18" i="27"/>
  <c r="A26" i="31"/>
  <c r="A28" i="31"/>
  <c r="A20" i="27"/>
  <c r="AK61" i="3"/>
  <c r="B29" i="27"/>
  <c r="A51" i="10"/>
  <c r="A56" i="3"/>
  <c r="A52" i="10"/>
  <c r="A57" i="3"/>
  <c r="A50" i="10"/>
  <c r="A55" i="3"/>
  <c r="A43" i="10"/>
  <c r="A44" i="10"/>
  <c r="A47" i="10"/>
  <c r="A45" i="10"/>
  <c r="A48" i="10"/>
  <c r="A53" i="3"/>
  <c r="A41" i="10"/>
  <c r="A46" i="3"/>
  <c r="A46" i="10"/>
  <c r="A54" i="10"/>
  <c r="A59" i="3"/>
  <c r="A49" i="10"/>
  <c r="A54" i="3"/>
  <c r="E54" i="3"/>
  <c r="A42" i="10"/>
  <c r="A47" i="3"/>
  <c r="A53" i="10"/>
  <c r="A58" i="3"/>
  <c r="A56" i="10"/>
  <c r="E119" i="8"/>
  <c r="B37" i="31"/>
  <c r="F37" i="31"/>
  <c r="AD61" i="3"/>
  <c r="B56" i="10"/>
  <c r="AJ61" i="3"/>
  <c r="A37" i="31"/>
  <c r="D61" i="3"/>
  <c r="AE61" i="3"/>
  <c r="AG61" i="3"/>
  <c r="AF61" i="3"/>
  <c r="AH61" i="3"/>
  <c r="AC61" i="3"/>
  <c r="A29" i="31"/>
  <c r="A21" i="27"/>
  <c r="A27" i="27"/>
  <c r="A35" i="31"/>
  <c r="E57" i="3"/>
  <c r="A25" i="27"/>
  <c r="A33" i="31"/>
  <c r="A26" i="27"/>
  <c r="A34" i="31"/>
  <c r="A23" i="31"/>
  <c r="A15" i="27"/>
  <c r="A22" i="31"/>
  <c r="A14" i="27"/>
  <c r="A24" i="27"/>
  <c r="A32" i="31"/>
  <c r="A22" i="27"/>
  <c r="A30" i="31"/>
  <c r="A31" i="31"/>
  <c r="A23" i="27"/>
  <c r="D29" i="27"/>
  <c r="AH29" i="27"/>
  <c r="X29" i="27"/>
  <c r="J29" i="27"/>
  <c r="AG29" i="27"/>
  <c r="W29" i="27"/>
  <c r="I29" i="27"/>
  <c r="AF29" i="27"/>
  <c r="V29" i="27"/>
  <c r="H29" i="27"/>
  <c r="AD29" i="27"/>
  <c r="T29" i="27"/>
  <c r="F29" i="27"/>
  <c r="AK29" i="27"/>
  <c r="AA29" i="27"/>
  <c r="M29" i="27"/>
  <c r="AC29" i="27"/>
  <c r="S29" i="27"/>
  <c r="E29" i="27"/>
  <c r="AJ29" i="27"/>
  <c r="Z29" i="27"/>
  <c r="L29" i="27"/>
  <c r="AE29" i="27"/>
  <c r="U29" i="27"/>
  <c r="G29" i="27"/>
  <c r="AI29" i="27"/>
  <c r="Y29" i="27"/>
  <c r="K29" i="27"/>
  <c r="A27" i="39"/>
  <c r="M12" i="27"/>
  <c r="L12" i="27"/>
  <c r="K12" i="27"/>
  <c r="J12" i="27"/>
  <c r="I12" i="27"/>
  <c r="H12" i="27"/>
  <c r="G12" i="27"/>
  <c r="F12" i="27"/>
  <c r="E12" i="27"/>
  <c r="D12" i="27"/>
  <c r="C12" i="27"/>
  <c r="B12" i="27"/>
  <c r="K23" i="31"/>
  <c r="K22" i="31"/>
  <c r="K21" i="31"/>
  <c r="A44" i="3"/>
  <c r="O44" i="3"/>
  <c r="N44" i="3"/>
  <c r="M44" i="3"/>
  <c r="L44" i="3"/>
  <c r="K44" i="3"/>
  <c r="J44" i="3"/>
  <c r="I44" i="3"/>
  <c r="H44" i="3"/>
  <c r="G44" i="3"/>
  <c r="F44" i="3"/>
  <c r="E44" i="3"/>
  <c r="D44" i="3"/>
  <c r="C44" i="3"/>
  <c r="B44" i="3"/>
  <c r="A20" i="31"/>
  <c r="A12" i="27"/>
  <c r="K36" i="31"/>
  <c r="K35" i="31"/>
  <c r="K34" i="31"/>
  <c r="K33" i="31"/>
  <c r="K32" i="31"/>
  <c r="A45" i="3"/>
  <c r="E45" i="3"/>
  <c r="E61" i="3"/>
  <c r="D37" i="31"/>
  <c r="K65" i="31"/>
  <c r="K64" i="31"/>
  <c r="K63" i="31"/>
  <c r="K62" i="31"/>
  <c r="K61" i="31"/>
  <c r="K60" i="31"/>
  <c r="K59" i="31"/>
  <c r="K58" i="31"/>
  <c r="K57" i="31"/>
  <c r="K56" i="31"/>
  <c r="K55" i="31"/>
  <c r="K54" i="31"/>
  <c r="K53" i="31"/>
  <c r="K52" i="31"/>
  <c r="K51" i="31"/>
  <c r="K50" i="31"/>
  <c r="K49" i="31"/>
  <c r="K48" i="31"/>
  <c r="K47" i="31"/>
  <c r="K46" i="31"/>
  <c r="K45" i="31"/>
  <c r="K44" i="31"/>
  <c r="K43" i="31"/>
  <c r="K41" i="31"/>
  <c r="K40" i="31"/>
  <c r="K39" i="31"/>
  <c r="K38" i="31"/>
  <c r="K37" i="31"/>
  <c r="K31" i="31"/>
  <c r="K30" i="31"/>
  <c r="K29" i="31"/>
  <c r="K27" i="31"/>
  <c r="K26" i="31"/>
  <c r="G45" i="27"/>
  <c r="M45" i="27"/>
  <c r="F45" i="27"/>
  <c r="E45" i="27"/>
  <c r="L45" i="27"/>
  <c r="J45" i="27"/>
  <c r="I45" i="27"/>
  <c r="K45" i="27"/>
  <c r="H45" i="27"/>
  <c r="F46" i="27"/>
  <c r="K46" i="27"/>
  <c r="M46" i="27"/>
  <c r="E46" i="27"/>
  <c r="L46" i="27"/>
  <c r="I46" i="27"/>
  <c r="H46" i="27"/>
  <c r="J46" i="27"/>
  <c r="G46" i="27"/>
  <c r="F54" i="27"/>
  <c r="M54" i="27"/>
  <c r="E54" i="27"/>
  <c r="L54" i="27"/>
  <c r="K54" i="27"/>
  <c r="I54" i="27"/>
  <c r="H54" i="27"/>
  <c r="J54" i="27"/>
  <c r="G54" i="27"/>
  <c r="H52" i="27"/>
  <c r="F52" i="27"/>
  <c r="E52" i="27"/>
  <c r="G52" i="27"/>
  <c r="M52" i="27"/>
  <c r="K52" i="27"/>
  <c r="J52" i="27"/>
  <c r="L52" i="27"/>
  <c r="I52" i="27"/>
  <c r="M55" i="27"/>
  <c r="E55" i="27"/>
  <c r="K55" i="27"/>
  <c r="J55" i="27"/>
  <c r="L55" i="27"/>
  <c r="H55" i="27"/>
  <c r="G55" i="27"/>
  <c r="I55" i="27"/>
  <c r="F55" i="27"/>
  <c r="L48" i="27"/>
  <c r="I48" i="27"/>
  <c r="K48" i="27"/>
  <c r="J48" i="27"/>
  <c r="G48" i="27"/>
  <c r="F48" i="27"/>
  <c r="H48" i="27"/>
  <c r="E48" i="27"/>
  <c r="M48" i="27"/>
  <c r="K49" i="27"/>
  <c r="I49" i="27"/>
  <c r="J49" i="27"/>
  <c r="H49" i="27"/>
  <c r="F49" i="27"/>
  <c r="M49" i="27"/>
  <c r="E49" i="27"/>
  <c r="G49" i="27"/>
  <c r="L49" i="27"/>
  <c r="K57" i="27"/>
  <c r="I57" i="27"/>
  <c r="H57" i="27"/>
  <c r="J57" i="27"/>
  <c r="F57" i="27"/>
  <c r="M57" i="27"/>
  <c r="E57" i="27"/>
  <c r="L57" i="27"/>
  <c r="G57" i="27"/>
  <c r="M47" i="27"/>
  <c r="E47" i="27"/>
  <c r="K47" i="27"/>
  <c r="L47" i="27"/>
  <c r="J47" i="27"/>
  <c r="H47" i="27"/>
  <c r="G47" i="27"/>
  <c r="I47" i="27"/>
  <c r="F47" i="27"/>
  <c r="J50" i="27"/>
  <c r="G50" i="27"/>
  <c r="I50" i="27"/>
  <c r="H50" i="27"/>
  <c r="M50" i="27"/>
  <c r="E50" i="27"/>
  <c r="L50" i="27"/>
  <c r="K50" i="27"/>
  <c r="F50" i="27"/>
  <c r="G53" i="27"/>
  <c r="M53" i="27"/>
  <c r="L53" i="27"/>
  <c r="F53" i="27"/>
  <c r="E53" i="27"/>
  <c r="J53" i="27"/>
  <c r="I53" i="27"/>
  <c r="K53" i="27"/>
  <c r="H53" i="27"/>
  <c r="L56" i="27"/>
  <c r="K56" i="27"/>
  <c r="J56" i="27"/>
  <c r="I56" i="27"/>
  <c r="G56" i="27"/>
  <c r="F56" i="27"/>
  <c r="M56" i="27"/>
  <c r="E56" i="27"/>
  <c r="H56" i="27"/>
  <c r="I51" i="27"/>
  <c r="H51" i="27"/>
  <c r="G51" i="27"/>
  <c r="F51" i="27"/>
  <c r="L51" i="27"/>
  <c r="K51" i="27"/>
  <c r="M51" i="27"/>
  <c r="E51" i="27"/>
  <c r="J51" i="27"/>
  <c r="A21" i="31"/>
  <c r="A13" i="27"/>
  <c r="Z61" i="3"/>
  <c r="N61" i="3"/>
  <c r="W61" i="3"/>
  <c r="K61" i="3"/>
  <c r="Y61" i="3"/>
  <c r="M61" i="3"/>
  <c r="X61" i="3"/>
  <c r="L61" i="3"/>
  <c r="V61" i="3"/>
  <c r="J61" i="3"/>
  <c r="T61" i="3"/>
  <c r="H61" i="3"/>
  <c r="AA61" i="3"/>
  <c r="O61" i="3"/>
  <c r="S61" i="3"/>
  <c r="G61" i="3"/>
  <c r="U61" i="3"/>
  <c r="I61" i="3"/>
  <c r="F54" i="3"/>
  <c r="O6" i="8"/>
  <c r="P6" i="8"/>
  <c r="M125" i="8"/>
  <c r="F6" i="8"/>
  <c r="N126" i="8"/>
  <c r="N125" i="8"/>
  <c r="B125" i="8"/>
  <c r="M123" i="8"/>
  <c r="M121" i="8"/>
  <c r="B126" i="8"/>
  <c r="N124" i="8"/>
  <c r="N123" i="8"/>
  <c r="B123" i="8"/>
  <c r="N122" i="8"/>
  <c r="N121" i="8"/>
  <c r="B121" i="8"/>
  <c r="A125" i="8"/>
  <c r="A126" i="8"/>
  <c r="A122" i="8"/>
  <c r="A121" i="8"/>
  <c r="A63" i="3"/>
  <c r="A124" i="8"/>
  <c r="A123" i="8"/>
  <c r="A39" i="31"/>
  <c r="A31" i="27"/>
  <c r="A63" i="10"/>
  <c r="A68" i="3"/>
  <c r="A68" i="10"/>
  <c r="A67" i="10"/>
  <c r="A65" i="10"/>
  <c r="A62" i="10"/>
  <c r="A67" i="3"/>
  <c r="A66" i="10"/>
  <c r="A60" i="10"/>
  <c r="A65" i="3"/>
  <c r="A58" i="10"/>
  <c r="A69" i="10"/>
  <c r="B124" i="8"/>
  <c r="A61" i="10"/>
  <c r="B122" i="8"/>
  <c r="A64" i="3"/>
  <c r="A31" i="39"/>
  <c r="A40" i="31"/>
  <c r="A32" i="27"/>
  <c r="E67" i="3"/>
  <c r="A35" i="27"/>
  <c r="A43" i="31"/>
  <c r="A44" i="31"/>
  <c r="A36" i="27"/>
  <c r="A41" i="31"/>
  <c r="A33" i="27"/>
  <c r="D46" i="31"/>
  <c r="C38" i="27"/>
  <c r="A46" i="31"/>
  <c r="A38" i="27"/>
  <c r="D49" i="31"/>
  <c r="C41" i="27"/>
  <c r="A41" i="27"/>
  <c r="A49" i="31"/>
  <c r="A40" i="27"/>
  <c r="A48" i="31"/>
  <c r="D47" i="31"/>
  <c r="C39" i="27"/>
  <c r="A47" i="31"/>
  <c r="A39" i="27"/>
  <c r="A42" i="27"/>
  <c r="A50" i="31"/>
  <c r="A66" i="3"/>
  <c r="E65" i="3"/>
  <c r="D48" i="31"/>
  <c r="C40" i="27"/>
  <c r="E63" i="3"/>
  <c r="F63" i="3"/>
  <c r="D50" i="31"/>
  <c r="C42" i="27"/>
  <c r="A59" i="10"/>
  <c r="G16" i="26"/>
  <c r="G27" i="26"/>
  <c r="G21" i="26"/>
  <c r="G6" i="26"/>
  <c r="G5" i="26"/>
  <c r="A42" i="31"/>
  <c r="A34" i="27"/>
  <c r="B26" i="3"/>
  <c r="A26" i="3"/>
  <c r="E25" i="3"/>
  <c r="K25" i="3"/>
  <c r="B25" i="3"/>
  <c r="A25" i="3"/>
  <c r="E24" i="3"/>
  <c r="K24" i="3"/>
  <c r="B24" i="3"/>
  <c r="A24" i="3"/>
  <c r="E23" i="3"/>
  <c r="B23" i="3"/>
  <c r="A23" i="3"/>
  <c r="E22" i="3"/>
  <c r="K22" i="3"/>
  <c r="B22" i="3"/>
  <c r="A22" i="3"/>
  <c r="E21" i="3"/>
  <c r="O21" i="3"/>
  <c r="B21" i="3"/>
  <c r="A21" i="3"/>
  <c r="H21" i="3"/>
  <c r="I21" i="3"/>
  <c r="J21" i="3"/>
  <c r="K21" i="3"/>
  <c r="I23" i="3"/>
  <c r="J23" i="3"/>
  <c r="G21" i="3"/>
  <c r="L22" i="3"/>
  <c r="O22" i="3"/>
  <c r="L21" i="3"/>
  <c r="M23" i="3"/>
  <c r="H22" i="3"/>
  <c r="M21" i="3"/>
  <c r="N23" i="3"/>
  <c r="G23" i="3"/>
  <c r="F8" i="8"/>
  <c r="O8" i="8"/>
  <c r="P8" i="8"/>
  <c r="E8" i="8"/>
  <c r="B93" i="10"/>
  <c r="B92" i="10"/>
  <c r="B91" i="10"/>
  <c r="B90" i="10"/>
  <c r="B89" i="10"/>
  <c r="B88" i="10"/>
  <c r="B87" i="10"/>
  <c r="B86" i="10"/>
  <c r="B85" i="10"/>
  <c r="B84" i="10"/>
  <c r="B83" i="10"/>
  <c r="B82" i="10"/>
  <c r="B81" i="10"/>
  <c r="B80" i="10"/>
  <c r="B79" i="10"/>
  <c r="B78" i="10"/>
  <c r="B77" i="10"/>
  <c r="B76" i="10"/>
  <c r="B75" i="10"/>
  <c r="B74" i="10"/>
  <c r="B73" i="10"/>
  <c r="B72" i="10"/>
  <c r="B71" i="10"/>
  <c r="X50" i="18"/>
  <c r="W50" i="18"/>
  <c r="V50" i="18"/>
  <c r="U50" i="18"/>
  <c r="T50" i="18"/>
  <c r="N51" i="18"/>
  <c r="E44" i="18"/>
  <c r="C45" i="18"/>
  <c r="C44" i="18"/>
  <c r="D60" i="33"/>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A23" i="28"/>
  <c r="E23" i="28"/>
  <c r="H23" i="28"/>
  <c r="I23" i="28"/>
  <c r="M23" i="28"/>
  <c r="W47" i="4"/>
  <c r="N30" i="3"/>
  <c r="N36" i="3"/>
  <c r="N35" i="3"/>
  <c r="N34" i="3"/>
  <c r="N33" i="3"/>
  <c r="N32" i="3"/>
  <c r="N31" i="3"/>
  <c r="I62" i="2"/>
  <c r="K62" i="2"/>
  <c r="I61" i="2"/>
  <c r="K61" i="2"/>
  <c r="I60" i="2"/>
  <c r="K60" i="2"/>
  <c r="I59" i="2"/>
  <c r="K59" i="2"/>
  <c r="I58" i="2"/>
  <c r="K58" i="2"/>
  <c r="I57" i="2"/>
  <c r="K57" i="2"/>
  <c r="I56" i="2"/>
  <c r="K56" i="2"/>
  <c r="I55" i="2"/>
  <c r="K55" i="2"/>
  <c r="I54" i="2"/>
  <c r="K54" i="2"/>
  <c r="I53" i="2"/>
  <c r="K53" i="2"/>
  <c r="I52" i="2"/>
  <c r="K52" i="2"/>
  <c r="I51" i="2"/>
  <c r="K51" i="2"/>
  <c r="I50" i="2"/>
  <c r="K50" i="2"/>
  <c r="I49" i="2"/>
  <c r="K49" i="2"/>
  <c r="I48" i="2"/>
  <c r="K48" i="2"/>
  <c r="I47" i="2"/>
  <c r="K47" i="2"/>
  <c r="I46" i="2"/>
  <c r="K46" i="2"/>
  <c r="I45" i="2"/>
  <c r="K45" i="2"/>
  <c r="I44" i="2"/>
  <c r="K44" i="2"/>
  <c r="I43" i="2"/>
  <c r="K43" i="2"/>
  <c r="I42" i="2"/>
  <c r="K42" i="2"/>
  <c r="I41" i="2"/>
  <c r="K41" i="2"/>
  <c r="I40" i="2"/>
  <c r="K40" i="2"/>
  <c r="I39" i="2"/>
  <c r="K39" i="2"/>
  <c r="I38" i="2"/>
  <c r="K38" i="2"/>
  <c r="I37" i="2"/>
  <c r="K37" i="2"/>
  <c r="I36" i="2"/>
  <c r="K36" i="2"/>
  <c r="I35" i="2"/>
  <c r="K35" i="2"/>
  <c r="I34" i="2"/>
  <c r="K34" i="2"/>
  <c r="I33" i="2"/>
  <c r="K33" i="2"/>
  <c r="I32" i="2"/>
  <c r="K32" i="2"/>
  <c r="I31" i="2"/>
  <c r="K31" i="2"/>
  <c r="I30" i="2"/>
  <c r="K30" i="2"/>
  <c r="L23" i="28"/>
  <c r="AD38" i="4"/>
  <c r="AD39" i="4"/>
  <c r="AD40" i="4"/>
  <c r="AD41" i="4"/>
  <c r="AD42" i="4"/>
  <c r="AD43" i="4"/>
  <c r="AD44" i="4"/>
  <c r="AD45" i="4"/>
  <c r="AD46" i="4"/>
  <c r="AD47" i="4"/>
  <c r="AD48" i="4"/>
  <c r="AD49" i="4"/>
  <c r="AD50" i="4"/>
  <c r="AD51" i="4"/>
  <c r="AD52" i="4"/>
  <c r="AD53" i="4"/>
  <c r="AD54" i="4"/>
  <c r="AD55" i="4"/>
  <c r="AD56" i="4"/>
  <c r="AD57"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37" i="4"/>
  <c r="G27" i="39"/>
  <c r="Q27" i="39"/>
  <c r="A24" i="39"/>
  <c r="C57" i="41"/>
  <c r="C56" i="41"/>
  <c r="C55" i="41"/>
  <c r="C54" i="41"/>
  <c r="C53" i="41"/>
  <c r="C52" i="41"/>
  <c r="C51" i="41"/>
  <c r="C50" i="41"/>
  <c r="C49" i="41"/>
  <c r="C48" i="41"/>
  <c r="C47" i="41"/>
  <c r="C46" i="41"/>
  <c r="C45" i="41"/>
  <c r="C44" i="41"/>
  <c r="C43" i="41"/>
  <c r="C42" i="41"/>
  <c r="C41" i="41"/>
  <c r="C40" i="41"/>
  <c r="C39" i="41"/>
  <c r="C38" i="41"/>
  <c r="C37" i="41"/>
  <c r="C36" i="41"/>
  <c r="C35" i="41"/>
  <c r="S27" i="41"/>
  <c r="S22" i="41"/>
  <c r="B57" i="41"/>
  <c r="A57" i="41"/>
  <c r="B56" i="41"/>
  <c r="A56" i="41"/>
  <c r="B55" i="41"/>
  <c r="A55" i="41"/>
  <c r="B54" i="41"/>
  <c r="A54" i="41"/>
  <c r="B53" i="41"/>
  <c r="A53" i="41"/>
  <c r="B52" i="41"/>
  <c r="A52" i="41"/>
  <c r="B51" i="41"/>
  <c r="A51" i="41"/>
  <c r="B50" i="41"/>
  <c r="A50" i="41"/>
  <c r="B49" i="41"/>
  <c r="A49" i="41"/>
  <c r="B48" i="41"/>
  <c r="A48" i="41"/>
  <c r="B47" i="41"/>
  <c r="A47" i="41"/>
  <c r="B46" i="41"/>
  <c r="A46" i="41"/>
  <c r="B45" i="41"/>
  <c r="A45" i="41"/>
  <c r="B44" i="41"/>
  <c r="A44" i="41"/>
  <c r="B43" i="41"/>
  <c r="A43" i="41"/>
  <c r="B42" i="41"/>
  <c r="A42" i="41"/>
  <c r="B41" i="41"/>
  <c r="A41" i="41"/>
  <c r="B40" i="41"/>
  <c r="A40" i="41"/>
  <c r="B39" i="41"/>
  <c r="A39" i="41"/>
  <c r="B38" i="41"/>
  <c r="A38" i="41"/>
  <c r="B37" i="41"/>
  <c r="A37" i="41"/>
  <c r="B36" i="41"/>
  <c r="A36" i="41"/>
  <c r="B35" i="41"/>
  <c r="A35" i="41"/>
  <c r="O21" i="26"/>
  <c r="O16" i="26"/>
  <c r="O11" i="26"/>
  <c r="O6" i="26"/>
  <c r="O5" i="26"/>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K27" i="10"/>
  <c r="C26" i="18"/>
  <c r="C23" i="18"/>
  <c r="C22" i="18"/>
  <c r="C21" i="18"/>
  <c r="Q14" i="39"/>
  <c r="C15" i="21"/>
  <c r="C14" i="21"/>
  <c r="C13" i="21"/>
  <c r="A12" i="21"/>
  <c r="E10" i="21"/>
  <c r="A13" i="21"/>
  <c r="G6" i="21"/>
  <c r="G5" i="21"/>
  <c r="F6" i="21"/>
  <c r="F5" i="21"/>
  <c r="E6" i="21"/>
  <c r="E5" i="21"/>
  <c r="D6" i="21"/>
  <c r="D5" i="21"/>
  <c r="C6" i="21"/>
  <c r="C5" i="21"/>
  <c r="B6" i="21"/>
  <c r="B5" i="21"/>
  <c r="F24" i="18"/>
  <c r="E24" i="18"/>
  <c r="D24" i="18"/>
  <c r="V9" i="39"/>
  <c r="Q9" i="39"/>
  <c r="Q11" i="39"/>
  <c r="W9" i="39"/>
  <c r="N13" i="39"/>
  <c r="A10" i="39"/>
  <c r="A12" i="39"/>
  <c r="A34" i="39"/>
  <c r="G34" i="39"/>
  <c r="A33" i="39"/>
  <c r="G33" i="39"/>
  <c r="G32" i="39"/>
  <c r="G31" i="39"/>
  <c r="A30" i="39"/>
  <c r="G30" i="39"/>
  <c r="A29" i="39"/>
  <c r="G29" i="39"/>
  <c r="A28" i="39"/>
  <c r="G28" i="39"/>
  <c r="Q34" i="39"/>
  <c r="Q33" i="39"/>
  <c r="Q32" i="39"/>
  <c r="A26" i="39"/>
  <c r="G26" i="39"/>
  <c r="A25" i="39"/>
  <c r="G25" i="39"/>
  <c r="G24" i="39"/>
  <c r="A23" i="39"/>
  <c r="G23" i="39"/>
  <c r="A22" i="39"/>
  <c r="G22" i="39"/>
  <c r="A21" i="39"/>
  <c r="G21" i="39"/>
  <c r="A20" i="39"/>
  <c r="G20" i="39"/>
  <c r="A19" i="39"/>
  <c r="G19" i="39"/>
  <c r="A18" i="39"/>
  <c r="G18" i="39"/>
  <c r="A17" i="39"/>
  <c r="G17" i="39"/>
  <c r="A16" i="39"/>
  <c r="G16" i="39"/>
  <c r="A14" i="39"/>
  <c r="G14" i="39"/>
  <c r="A15" i="39"/>
  <c r="G15" i="39"/>
  <c r="Q31" i="39"/>
  <c r="Q30" i="39"/>
  <c r="Q29" i="39"/>
  <c r="Q28" i="39"/>
  <c r="Q26" i="39"/>
  <c r="Q25" i="39"/>
  <c r="Q24" i="39"/>
  <c r="Q23" i="39"/>
  <c r="Q22" i="39"/>
  <c r="Q21" i="39"/>
  <c r="Q20" i="39"/>
  <c r="Q19" i="39"/>
  <c r="Q18" i="39"/>
  <c r="Q17" i="39"/>
  <c r="Q16" i="39"/>
  <c r="Q15" i="39"/>
  <c r="Y65" i="18"/>
  <c r="Q61" i="18"/>
  <c r="N57" i="18"/>
  <c r="G50" i="18"/>
  <c r="N48" i="18"/>
  <c r="D40" i="18"/>
  <c r="U24" i="18"/>
  <c r="Q65" i="18"/>
  <c r="N7" i="21"/>
  <c r="N8" i="21"/>
  <c r="P43" i="21"/>
  <c r="P35" i="21"/>
  <c r="Q26" i="21"/>
  <c r="Q22" i="21"/>
  <c r="Q18" i="21"/>
  <c r="C178" i="37"/>
  <c r="C177" i="37"/>
  <c r="C166" i="37"/>
  <c r="C165" i="37"/>
  <c r="C154" i="37"/>
  <c r="C153" i="37"/>
  <c r="C142" i="37"/>
  <c r="C141" i="37"/>
  <c r="C130" i="37"/>
  <c r="C129" i="37"/>
  <c r="C118" i="37"/>
  <c r="C117" i="37"/>
  <c r="C106" i="37"/>
  <c r="C105" i="37"/>
  <c r="C94" i="37"/>
  <c r="C93" i="37"/>
  <c r="C82" i="37"/>
  <c r="C81" i="37"/>
  <c r="C70" i="37"/>
  <c r="C69" i="37"/>
  <c r="C58" i="37"/>
  <c r="C57" i="37"/>
  <c r="C46" i="37"/>
  <c r="C45" i="37"/>
  <c r="C34" i="37"/>
  <c r="C33" i="37"/>
  <c r="C22" i="37"/>
  <c r="C21" i="37"/>
  <c r="C10" i="37"/>
  <c r="C9" i="37"/>
  <c r="P12" i="38"/>
  <c r="B12" i="38"/>
  <c r="G12" i="38"/>
  <c r="C32" i="33"/>
  <c r="C40" i="33"/>
  <c r="M19" i="33"/>
  <c r="M18" i="33"/>
  <c r="M17" i="33"/>
  <c r="M16" i="33"/>
  <c r="M15" i="33"/>
  <c r="M14" i="33"/>
  <c r="M13" i="33"/>
  <c r="C29" i="33"/>
  <c r="J69" i="4"/>
  <c r="L69" i="4"/>
  <c r="J68" i="4"/>
  <c r="L68" i="4"/>
  <c r="J67" i="4"/>
  <c r="L67" i="4"/>
  <c r="J66" i="4"/>
  <c r="L66" i="4"/>
  <c r="J65" i="4"/>
  <c r="L65" i="4"/>
  <c r="J64" i="4"/>
  <c r="L64" i="4"/>
  <c r="J63" i="4"/>
  <c r="L63" i="4"/>
  <c r="J62" i="4"/>
  <c r="L62" i="4"/>
  <c r="J61" i="4"/>
  <c r="L61" i="4"/>
  <c r="J60" i="4"/>
  <c r="L60" i="4"/>
  <c r="J59" i="4"/>
  <c r="L59" i="4"/>
  <c r="J58" i="4"/>
  <c r="L58" i="4"/>
  <c r="J57" i="4"/>
  <c r="L57" i="4"/>
  <c r="J56" i="4"/>
  <c r="L56" i="4"/>
  <c r="J55" i="4"/>
  <c r="L55" i="4"/>
  <c r="J54" i="4"/>
  <c r="L54" i="4"/>
  <c r="J53" i="4"/>
  <c r="L53" i="4"/>
  <c r="J52" i="4"/>
  <c r="L52" i="4"/>
  <c r="J51" i="4"/>
  <c r="L51" i="4"/>
  <c r="J50" i="4"/>
  <c r="L50" i="4"/>
  <c r="J49" i="4"/>
  <c r="L49" i="4"/>
  <c r="J48" i="4"/>
  <c r="L48" i="4"/>
  <c r="J47" i="4"/>
  <c r="L47" i="4"/>
  <c r="J46" i="4"/>
  <c r="L46" i="4"/>
  <c r="J45" i="4"/>
  <c r="L45" i="4"/>
  <c r="S45" i="4"/>
  <c r="S46" i="4"/>
  <c r="S47" i="4"/>
  <c r="S48" i="4"/>
  <c r="S49" i="4"/>
  <c r="S50" i="4"/>
  <c r="S51" i="4"/>
  <c r="S52" i="4"/>
  <c r="S53" i="4"/>
  <c r="S54" i="4"/>
  <c r="S55" i="4"/>
  <c r="S56" i="4"/>
  <c r="S57" i="4"/>
  <c r="S58" i="4"/>
  <c r="S59" i="4"/>
  <c r="S60" i="4"/>
  <c r="S61" i="4"/>
  <c r="S62" i="4"/>
  <c r="S63" i="4"/>
  <c r="S64" i="4"/>
  <c r="S65" i="4"/>
  <c r="S66" i="4"/>
  <c r="S67" i="4"/>
  <c r="S68" i="4"/>
  <c r="S69" i="4"/>
  <c r="S38" i="4"/>
  <c r="S39" i="4"/>
  <c r="S40" i="4"/>
  <c r="S41" i="4"/>
  <c r="S42" i="4"/>
  <c r="S43" i="4"/>
  <c r="S44" i="4"/>
  <c r="R38" i="4"/>
  <c r="R33" i="4"/>
  <c r="Q49" i="4"/>
  <c r="Q50" i="4"/>
  <c r="Q51" i="4"/>
  <c r="Q52" i="4"/>
  <c r="Q53" i="4"/>
  <c r="Q54" i="4"/>
  <c r="Q55" i="4"/>
  <c r="Q56" i="4"/>
  <c r="Q57" i="4"/>
  <c r="Q58" i="4"/>
  <c r="Q59" i="4"/>
  <c r="Q60" i="4"/>
  <c r="Q61" i="4"/>
  <c r="Q62" i="4"/>
  <c r="Q63" i="4"/>
  <c r="Q64" i="4"/>
  <c r="Q65" i="4"/>
  <c r="Q66" i="4"/>
  <c r="Q67" i="4"/>
  <c r="Q68" i="4"/>
  <c r="Q69" i="4"/>
  <c r="Q45" i="4"/>
  <c r="Q46" i="4"/>
  <c r="Q47" i="4"/>
  <c r="Q48" i="4"/>
  <c r="Q38" i="4"/>
  <c r="Q39" i="4"/>
  <c r="P45" i="4"/>
  <c r="P46" i="4"/>
  <c r="P47" i="4"/>
  <c r="P48" i="4"/>
  <c r="P49" i="4"/>
  <c r="P50" i="4"/>
  <c r="P51" i="4"/>
  <c r="P52" i="4"/>
  <c r="P53" i="4"/>
  <c r="P54" i="4"/>
  <c r="P55" i="4"/>
  <c r="P56" i="4"/>
  <c r="P57" i="4"/>
  <c r="P58" i="4"/>
  <c r="P59" i="4"/>
  <c r="P60" i="4"/>
  <c r="P61" i="4"/>
  <c r="P62" i="4"/>
  <c r="P63" i="4"/>
  <c r="P64" i="4"/>
  <c r="P65" i="4"/>
  <c r="P66" i="4"/>
  <c r="P67" i="4"/>
  <c r="P68" i="4"/>
  <c r="P69" i="4"/>
  <c r="P38" i="4"/>
  <c r="P39" i="4"/>
  <c r="P40" i="4"/>
  <c r="P41" i="4"/>
  <c r="P42" i="4"/>
  <c r="P43" i="4"/>
  <c r="P44" i="4"/>
  <c r="C60" i="33"/>
  <c r="C59" i="33"/>
  <c r="C58" i="33"/>
  <c r="C57" i="33"/>
  <c r="C56" i="33"/>
  <c r="C55" i="33"/>
  <c r="C54" i="33"/>
  <c r="C53" i="33"/>
  <c r="C52" i="33"/>
  <c r="C51" i="33"/>
  <c r="C50" i="33"/>
  <c r="C49" i="33"/>
  <c r="C48" i="33"/>
  <c r="C47" i="33"/>
  <c r="C46" i="33"/>
  <c r="C45" i="33"/>
  <c r="C44" i="33"/>
  <c r="C43" i="33"/>
  <c r="C42" i="33"/>
  <c r="C41" i="33"/>
  <c r="C39" i="33"/>
  <c r="C38" i="33"/>
  <c r="C37" i="33"/>
  <c r="C36" i="33"/>
  <c r="C35" i="33"/>
  <c r="C34" i="33"/>
  <c r="C33" i="33"/>
  <c r="C31" i="33"/>
  <c r="C30"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A60" i="33"/>
  <c r="K60" i="33"/>
  <c r="A59" i="33"/>
  <c r="K59" i="33"/>
  <c r="A58" i="33"/>
  <c r="K58" i="33"/>
  <c r="A57" i="33"/>
  <c r="K57" i="33"/>
  <c r="A56" i="33"/>
  <c r="K56" i="33"/>
  <c r="A55" i="33"/>
  <c r="K55" i="33"/>
  <c r="A54" i="33"/>
  <c r="K54" i="33"/>
  <c r="A53" i="33"/>
  <c r="K53" i="33"/>
  <c r="A52" i="33"/>
  <c r="K52" i="33"/>
  <c r="A51" i="33"/>
  <c r="K51" i="33"/>
  <c r="A50" i="33"/>
  <c r="K50" i="33"/>
  <c r="A49" i="33"/>
  <c r="K49" i="33"/>
  <c r="A48" i="33"/>
  <c r="K48" i="33"/>
  <c r="A47" i="33"/>
  <c r="K47" i="33"/>
  <c r="A46" i="33"/>
  <c r="K46" i="33"/>
  <c r="A45" i="33"/>
  <c r="K45" i="33"/>
  <c r="A44" i="33"/>
  <c r="K44" i="33"/>
  <c r="A43" i="33"/>
  <c r="K43" i="33"/>
  <c r="A42" i="33"/>
  <c r="K42" i="33"/>
  <c r="A41" i="33"/>
  <c r="K41" i="33"/>
  <c r="A40" i="33"/>
  <c r="K40" i="33"/>
  <c r="A39" i="33"/>
  <c r="K39" i="33"/>
  <c r="A38" i="33"/>
  <c r="K38" i="33"/>
  <c r="A37" i="33"/>
  <c r="K37" i="33"/>
  <c r="A36" i="33"/>
  <c r="K36" i="33"/>
  <c r="A35" i="33"/>
  <c r="K35" i="33"/>
  <c r="A34" i="33"/>
  <c r="K34" i="33"/>
  <c r="A33" i="33"/>
  <c r="K33" i="33"/>
  <c r="A32" i="33"/>
  <c r="K32" i="33"/>
  <c r="A31" i="33"/>
  <c r="K31" i="33"/>
  <c r="A30" i="33"/>
  <c r="K30" i="33"/>
  <c r="B29" i="33"/>
  <c r="A29" i="33"/>
  <c r="K29" i="33"/>
  <c r="AD30" i="33"/>
  <c r="AD31" i="33"/>
  <c r="AD32" i="33"/>
  <c r="AD33" i="33"/>
  <c r="AD34" i="33"/>
  <c r="AD35" i="33"/>
  <c r="AD36" i="33"/>
  <c r="AD37" i="33"/>
  <c r="AD38" i="33"/>
  <c r="AD39" i="33"/>
  <c r="AD40" i="33"/>
  <c r="AD41" i="33"/>
  <c r="AD42" i="33"/>
  <c r="AD43" i="33"/>
  <c r="AD44" i="33"/>
  <c r="AD45" i="33"/>
  <c r="AD46" i="33"/>
  <c r="AD47" i="33"/>
  <c r="AD48" i="33"/>
  <c r="AD49" i="33"/>
  <c r="AD51" i="33"/>
  <c r="AD52" i="33"/>
  <c r="AD53" i="33"/>
  <c r="AD54" i="33"/>
  <c r="AD55" i="33"/>
  <c r="AD56" i="33"/>
  <c r="AD57" i="33"/>
  <c r="AD58" i="33"/>
  <c r="AD59" i="33"/>
  <c r="AD60" i="33"/>
  <c r="AD61" i="33"/>
  <c r="AD62" i="33"/>
  <c r="AD63" i="33"/>
  <c r="AD64" i="33"/>
  <c r="AD65" i="33"/>
  <c r="AD66" i="33"/>
  <c r="AD67" i="33"/>
  <c r="AD68" i="33"/>
  <c r="AD69" i="33"/>
  <c r="AD70" i="33"/>
  <c r="AD71" i="33"/>
  <c r="AD72" i="33"/>
  <c r="AD73" i="33"/>
  <c r="AD74" i="33"/>
  <c r="AD75" i="33"/>
  <c r="AD76" i="33"/>
  <c r="AD77" i="33"/>
  <c r="AD78" i="33"/>
  <c r="AD79" i="33"/>
  <c r="AD80" i="33"/>
  <c r="AD81" i="33"/>
  <c r="AD82" i="33"/>
  <c r="AD83" i="33"/>
  <c r="AD84" i="33"/>
  <c r="AD85" i="33"/>
  <c r="AD86" i="33"/>
  <c r="AD87" i="33"/>
  <c r="AD88" i="33"/>
  <c r="AD89" i="33"/>
  <c r="AD90" i="33"/>
  <c r="AD91" i="33"/>
  <c r="AD92" i="33"/>
  <c r="AD93" i="33"/>
  <c r="AD94" i="33"/>
  <c r="AD95" i="33"/>
  <c r="AD96" i="33"/>
  <c r="AD97" i="33"/>
  <c r="AD98" i="33"/>
  <c r="AD99" i="33"/>
  <c r="AD100" i="33"/>
  <c r="AD101" i="33"/>
  <c r="AD102" i="33"/>
  <c r="AD103" i="33"/>
  <c r="AD104" i="33"/>
  <c r="AD105" i="33"/>
  <c r="AD106" i="33"/>
  <c r="AD107" i="33"/>
  <c r="AD108" i="33"/>
  <c r="AD109" i="33"/>
  <c r="AD110" i="33"/>
  <c r="AD111" i="33"/>
  <c r="AD112" i="33"/>
  <c r="AD113" i="33"/>
  <c r="AD114" i="33"/>
  <c r="AD115" i="33"/>
  <c r="AD116" i="33"/>
  <c r="AD117" i="33"/>
  <c r="AD118" i="33"/>
  <c r="AD119" i="33"/>
  <c r="AD120" i="33"/>
  <c r="AD121" i="33"/>
  <c r="AD122" i="33"/>
  <c r="AD123" i="33"/>
  <c r="AD124" i="33"/>
  <c r="AD125" i="33"/>
  <c r="AD126" i="33"/>
  <c r="AD127" i="33"/>
  <c r="AD128" i="33"/>
  <c r="AD129" i="33"/>
  <c r="AD130" i="33"/>
  <c r="AD131" i="33"/>
  <c r="AD132" i="33"/>
  <c r="AD133" i="33"/>
  <c r="AD134" i="33"/>
  <c r="AD135" i="33"/>
  <c r="AD136" i="33"/>
  <c r="AD137" i="33"/>
  <c r="AD138" i="33"/>
  <c r="AD139" i="33"/>
  <c r="AD140" i="33"/>
  <c r="AD142" i="33"/>
  <c r="AD143" i="33"/>
  <c r="AD144" i="33"/>
  <c r="AD145" i="33"/>
  <c r="AD146" i="33"/>
  <c r="AD147" i="33"/>
  <c r="AD148" i="33"/>
  <c r="AD149" i="33"/>
  <c r="AD150" i="33"/>
  <c r="AD151" i="33"/>
  <c r="AD152" i="33"/>
  <c r="AD153" i="33"/>
  <c r="AD154" i="33"/>
  <c r="AD155" i="33"/>
  <c r="AD156" i="33"/>
  <c r="AD157" i="33"/>
  <c r="AD158" i="33"/>
  <c r="AD159" i="33"/>
  <c r="AD160" i="33"/>
  <c r="AD161" i="33"/>
  <c r="AD162" i="33"/>
  <c r="AD163" i="33"/>
  <c r="AD164" i="33"/>
  <c r="AD165" i="33"/>
  <c r="AD166" i="33"/>
  <c r="AD167" i="33"/>
  <c r="AD168" i="33"/>
  <c r="AD169" i="33"/>
  <c r="AD170" i="33"/>
  <c r="AD171" i="33"/>
  <c r="AD172" i="33"/>
  <c r="AD173" i="33"/>
  <c r="AD174" i="33"/>
  <c r="AD175" i="33"/>
  <c r="AD176" i="33"/>
  <c r="AD177" i="33"/>
  <c r="AD178" i="33"/>
  <c r="AD179" i="33"/>
  <c r="AD180" i="33"/>
  <c r="AD181" i="33"/>
  <c r="AD182" i="33"/>
  <c r="AD183" i="33"/>
  <c r="AD184" i="33"/>
  <c r="AD185" i="33"/>
  <c r="AD186" i="33"/>
  <c r="AD187" i="33"/>
  <c r="AD188" i="33"/>
  <c r="AD189" i="33"/>
  <c r="AD190" i="33"/>
  <c r="AD191" i="33"/>
  <c r="AD192" i="33"/>
  <c r="AD193" i="33"/>
  <c r="AD194" i="33"/>
  <c r="AD195" i="33"/>
  <c r="AD196" i="33"/>
  <c r="AD197" i="33"/>
  <c r="AD198" i="33"/>
  <c r="AD199" i="33"/>
  <c r="AD200" i="33"/>
  <c r="AD201" i="33"/>
  <c r="AD202" i="33"/>
  <c r="AD203" i="33"/>
  <c r="AD204" i="33"/>
  <c r="AD205" i="33"/>
  <c r="AD206" i="33"/>
  <c r="AD207" i="33"/>
  <c r="AD208" i="33"/>
  <c r="AD209" i="33"/>
  <c r="AD210" i="33"/>
  <c r="AD211" i="33"/>
  <c r="AD29" i="33"/>
  <c r="U29" i="33"/>
  <c r="U30" i="33"/>
  <c r="U31" i="33"/>
  <c r="T29" i="33"/>
  <c r="T30" i="33"/>
  <c r="T31" i="33"/>
  <c r="R29" i="33"/>
  <c r="R30" i="33"/>
  <c r="R31" i="33"/>
  <c r="Q29" i="33"/>
  <c r="Q32" i="33"/>
  <c r="R32" i="33"/>
  <c r="T32" i="33"/>
  <c r="U32" i="33"/>
  <c r="Q33" i="33"/>
  <c r="R33" i="33"/>
  <c r="T33" i="33"/>
  <c r="U33" i="33"/>
  <c r="Q34" i="33"/>
  <c r="R34" i="33"/>
  <c r="T34" i="33"/>
  <c r="U34" i="33"/>
  <c r="Q35" i="33"/>
  <c r="R35" i="33"/>
  <c r="T35" i="33"/>
  <c r="U35" i="33"/>
  <c r="Q36" i="33"/>
  <c r="R36" i="33"/>
  <c r="T36" i="33"/>
  <c r="U36" i="33"/>
  <c r="Q37" i="33"/>
  <c r="R37" i="33"/>
  <c r="T37" i="33"/>
  <c r="U37" i="33"/>
  <c r="Q38" i="33"/>
  <c r="R38" i="33"/>
  <c r="T38" i="33"/>
  <c r="U38" i="33"/>
  <c r="Q39" i="33"/>
  <c r="R39" i="33"/>
  <c r="T39" i="33"/>
  <c r="U39" i="33"/>
  <c r="Q40" i="33"/>
  <c r="R40" i="33"/>
  <c r="T40" i="33"/>
  <c r="U40" i="33"/>
  <c r="Q41" i="33"/>
  <c r="R41" i="33"/>
  <c r="T41" i="33"/>
  <c r="U41" i="33"/>
  <c r="Q42" i="33"/>
  <c r="R42" i="33"/>
  <c r="T42" i="33"/>
  <c r="U42" i="33"/>
  <c r="Q43" i="33"/>
  <c r="R43" i="33"/>
  <c r="T43" i="33"/>
  <c r="U43" i="33"/>
  <c r="Q44" i="33"/>
  <c r="R44" i="33"/>
  <c r="T44" i="33"/>
  <c r="U44" i="33"/>
  <c r="Q45" i="33"/>
  <c r="R45" i="33"/>
  <c r="T45" i="33"/>
  <c r="U45" i="33"/>
  <c r="Q46" i="33"/>
  <c r="R46" i="33"/>
  <c r="T46" i="33"/>
  <c r="U46" i="33"/>
  <c r="Q47" i="33"/>
  <c r="R47" i="33"/>
  <c r="T47" i="33"/>
  <c r="U47" i="33"/>
  <c r="Q48" i="33"/>
  <c r="R48" i="33"/>
  <c r="T48" i="33"/>
  <c r="U48" i="33"/>
  <c r="Q49" i="33"/>
  <c r="R49" i="33"/>
  <c r="T49" i="33"/>
  <c r="U49" i="33"/>
  <c r="Q50" i="33"/>
  <c r="R50" i="33"/>
  <c r="T50" i="33"/>
  <c r="U50" i="33"/>
  <c r="Q51" i="33"/>
  <c r="R51" i="33"/>
  <c r="T51" i="33"/>
  <c r="U51" i="33"/>
  <c r="Q52" i="33"/>
  <c r="R52" i="33"/>
  <c r="T52" i="33"/>
  <c r="U52" i="33"/>
  <c r="Q53" i="33"/>
  <c r="R53" i="33"/>
  <c r="T53" i="33"/>
  <c r="U53" i="33"/>
  <c r="Q54" i="33"/>
  <c r="R54" i="33"/>
  <c r="T54" i="33"/>
  <c r="U54" i="33"/>
  <c r="Q55" i="33"/>
  <c r="R55" i="33"/>
  <c r="T55" i="33"/>
  <c r="U55" i="33"/>
  <c r="Q56" i="33"/>
  <c r="R56" i="33"/>
  <c r="T56" i="33"/>
  <c r="U56" i="33"/>
  <c r="Q57" i="33"/>
  <c r="R57" i="33"/>
  <c r="T57" i="33"/>
  <c r="U57" i="33"/>
  <c r="Q58" i="33"/>
  <c r="R58" i="33"/>
  <c r="T58" i="33"/>
  <c r="U58" i="33"/>
  <c r="Q59" i="33"/>
  <c r="R59" i="33"/>
  <c r="T59" i="33"/>
  <c r="U59" i="33"/>
  <c r="Q60" i="33"/>
  <c r="R60" i="33"/>
  <c r="T60" i="33"/>
  <c r="U60" i="33"/>
  <c r="G29" i="33"/>
  <c r="S29" i="33"/>
  <c r="G30" i="33"/>
  <c r="G31" i="33"/>
  <c r="G32" i="33"/>
  <c r="S32" i="33"/>
  <c r="G33" i="33"/>
  <c r="S33" i="33"/>
  <c r="G34" i="33"/>
  <c r="S34" i="33"/>
  <c r="G35" i="33"/>
  <c r="S35" i="33"/>
  <c r="G36" i="33"/>
  <c r="S36" i="33"/>
  <c r="G37" i="33"/>
  <c r="S37" i="33"/>
  <c r="G38" i="33"/>
  <c r="S38" i="33"/>
  <c r="G39" i="33"/>
  <c r="S39" i="33"/>
  <c r="G40" i="33"/>
  <c r="S40" i="33"/>
  <c r="G41" i="33"/>
  <c r="S41" i="33"/>
  <c r="G42" i="33"/>
  <c r="S42" i="33"/>
  <c r="G43" i="33"/>
  <c r="S43" i="33"/>
  <c r="G44" i="33"/>
  <c r="S44" i="33"/>
  <c r="G45" i="33"/>
  <c r="S45" i="33"/>
  <c r="G46" i="33"/>
  <c r="S46" i="33"/>
  <c r="G47" i="33"/>
  <c r="S47" i="33"/>
  <c r="G48" i="33"/>
  <c r="S48" i="33"/>
  <c r="G49" i="33"/>
  <c r="S49" i="33"/>
  <c r="G50" i="33"/>
  <c r="S50" i="33"/>
  <c r="G51" i="33"/>
  <c r="S51" i="33"/>
  <c r="G52" i="33"/>
  <c r="S52" i="33"/>
  <c r="G53" i="33"/>
  <c r="S53" i="33"/>
  <c r="G54" i="33"/>
  <c r="S54" i="33"/>
  <c r="G55" i="33"/>
  <c r="S55" i="33"/>
  <c r="G56" i="33"/>
  <c r="S56" i="33"/>
  <c r="G57" i="33"/>
  <c r="S57" i="33"/>
  <c r="G58" i="33"/>
  <c r="S58" i="33"/>
  <c r="G59" i="33"/>
  <c r="S59" i="33"/>
  <c r="G60" i="33"/>
  <c r="S60" i="33"/>
  <c r="H29" i="33"/>
  <c r="H30" i="33"/>
  <c r="H34" i="33"/>
  <c r="H35" i="33"/>
  <c r="H36" i="33"/>
  <c r="H37" i="33"/>
  <c r="H38" i="33"/>
  <c r="H39" i="33"/>
  <c r="H40" i="33"/>
  <c r="H41" i="33"/>
  <c r="H42" i="33"/>
  <c r="H43" i="33"/>
  <c r="H44" i="33"/>
  <c r="H45" i="33"/>
  <c r="H46" i="33"/>
  <c r="H47" i="33"/>
  <c r="H48" i="33"/>
  <c r="H49" i="33"/>
  <c r="H50" i="33"/>
  <c r="H51" i="33"/>
  <c r="H52" i="33"/>
  <c r="H53" i="33"/>
  <c r="H54" i="33"/>
  <c r="H55" i="33"/>
  <c r="H56" i="33"/>
  <c r="H57" i="33"/>
  <c r="H58" i="33"/>
  <c r="H59" i="33"/>
  <c r="H60" i="33"/>
  <c r="J38" i="4"/>
  <c r="L38" i="4"/>
  <c r="Q40" i="4"/>
  <c r="H31" i="33"/>
  <c r="R39" i="4"/>
  <c r="J39" i="4"/>
  <c r="L39" i="4"/>
  <c r="L1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I55" i="28"/>
  <c r="I54" i="28"/>
  <c r="I53" i="28"/>
  <c r="I52" i="28"/>
  <c r="I51" i="28"/>
  <c r="I50" i="28"/>
  <c r="I49" i="28"/>
  <c r="I48" i="28"/>
  <c r="I47" i="28"/>
  <c r="I46" i="28"/>
  <c r="I45" i="28"/>
  <c r="I44" i="28"/>
  <c r="I43" i="28"/>
  <c r="I42" i="28"/>
  <c r="I41" i="28"/>
  <c r="I40" i="28"/>
  <c r="I39" i="28"/>
  <c r="I38" i="28"/>
  <c r="I37" i="28"/>
  <c r="I36" i="28"/>
  <c r="I35" i="28"/>
  <c r="I34" i="28"/>
  <c r="I33" i="28"/>
  <c r="I32" i="28"/>
  <c r="I31" i="28"/>
  <c r="I30" i="28"/>
  <c r="I29" i="28"/>
  <c r="I28" i="28"/>
  <c r="I27" i="28"/>
  <c r="I26" i="28"/>
  <c r="I25" i="28"/>
  <c r="I24" i="28"/>
  <c r="H55" i="28"/>
  <c r="H54" i="28"/>
  <c r="H53" i="28"/>
  <c r="H52" i="28"/>
  <c r="H51" i="28"/>
  <c r="H50" i="28"/>
  <c r="H49" i="28"/>
  <c r="H48" i="28"/>
  <c r="H47" i="28"/>
  <c r="H46" i="28"/>
  <c r="H45" i="28"/>
  <c r="H44" i="28"/>
  <c r="H43" i="28"/>
  <c r="H42" i="28"/>
  <c r="H41" i="28"/>
  <c r="H40" i="28"/>
  <c r="H39" i="28"/>
  <c r="H38" i="28"/>
  <c r="H37" i="28"/>
  <c r="H36" i="28"/>
  <c r="H35" i="28"/>
  <c r="H34" i="28"/>
  <c r="H33" i="28"/>
  <c r="H32" i="28"/>
  <c r="H31" i="28"/>
  <c r="H30" i="28"/>
  <c r="H29" i="28"/>
  <c r="H28" i="28"/>
  <c r="H27" i="28"/>
  <c r="H26" i="28"/>
  <c r="H25" i="28"/>
  <c r="E55" i="28"/>
  <c r="E54" i="28"/>
  <c r="E53" i="28"/>
  <c r="E52" i="28"/>
  <c r="E51" i="28"/>
  <c r="E50" i="28"/>
  <c r="E49" i="28"/>
  <c r="E48" i="28"/>
  <c r="E47" i="28"/>
  <c r="E46" i="28"/>
  <c r="E45" i="28"/>
  <c r="E44" i="28"/>
  <c r="E43" i="28"/>
  <c r="E42" i="28"/>
  <c r="E41" i="28"/>
  <c r="E40" i="28"/>
  <c r="E39" i="28"/>
  <c r="E38" i="28"/>
  <c r="E37" i="28"/>
  <c r="E36" i="28"/>
  <c r="E35" i="28"/>
  <c r="E34" i="28"/>
  <c r="E33" i="28"/>
  <c r="E32" i="28"/>
  <c r="E31" i="28"/>
  <c r="E30" i="28"/>
  <c r="E29" i="28"/>
  <c r="E28" i="28"/>
  <c r="E27" i="28"/>
  <c r="E26" i="28"/>
  <c r="E25" i="28"/>
  <c r="E24" i="28"/>
  <c r="K25" i="31"/>
  <c r="S30" i="33"/>
  <c r="S31" i="33"/>
  <c r="L60" i="33"/>
  <c r="N60" i="33"/>
  <c r="L59" i="33"/>
  <c r="N59" i="33"/>
  <c r="L58" i="33"/>
  <c r="L57" i="33"/>
  <c r="L56" i="33"/>
  <c r="L55" i="33"/>
  <c r="L54" i="33"/>
  <c r="L53" i="33"/>
  <c r="L52" i="33"/>
  <c r="L51" i="33"/>
  <c r="L50" i="33"/>
  <c r="L49" i="33"/>
  <c r="L48" i="33"/>
  <c r="L47" i="33"/>
  <c r="L46" i="33"/>
  <c r="L45" i="33"/>
  <c r="L44" i="33"/>
  <c r="L43" i="33"/>
  <c r="L42" i="33"/>
  <c r="L41" i="33"/>
  <c r="L40" i="33"/>
  <c r="L39" i="33"/>
  <c r="L38" i="33"/>
  <c r="L37" i="33"/>
  <c r="L36" i="33"/>
  <c r="Q30" i="33"/>
  <c r="L29" i="33"/>
  <c r="Q41" i="4"/>
  <c r="H32" i="33"/>
  <c r="R40" i="4"/>
  <c r="J40" i="4"/>
  <c r="L40" i="4"/>
  <c r="N58" i="33"/>
  <c r="N42" i="33"/>
  <c r="N50" i="33"/>
  <c r="N52" i="33"/>
  <c r="N37" i="33"/>
  <c r="N45" i="33"/>
  <c r="N53" i="33"/>
  <c r="N51" i="33"/>
  <c r="N46" i="33"/>
  <c r="N39" i="33"/>
  <c r="N47" i="33"/>
  <c r="N55" i="33"/>
  <c r="N44" i="33"/>
  <c r="N38" i="33"/>
  <c r="N40" i="33"/>
  <c r="N48" i="33"/>
  <c r="N56" i="33"/>
  <c r="N43" i="33"/>
  <c r="N36" i="33"/>
  <c r="N54" i="33"/>
  <c r="N41" i="33"/>
  <c r="N49" i="33"/>
  <c r="N57" i="33"/>
  <c r="Q42" i="4"/>
  <c r="J41" i="4"/>
  <c r="L41" i="4"/>
  <c r="L32" i="33"/>
  <c r="Q31" i="33"/>
  <c r="L31" i="33"/>
  <c r="L30" i="33"/>
  <c r="R41" i="4"/>
  <c r="Q43" i="4"/>
  <c r="Q44" i="4"/>
  <c r="H33" i="33"/>
  <c r="R42" i="4"/>
  <c r="J42" i="4"/>
  <c r="L42" i="4"/>
  <c r="A17" i="3"/>
  <c r="A16" i="3"/>
  <c r="A15" i="3"/>
  <c r="A14" i="3"/>
  <c r="A13" i="3"/>
  <c r="A12" i="3"/>
  <c r="B17" i="3"/>
  <c r="B16" i="3"/>
  <c r="B15" i="3"/>
  <c r="B14" i="3"/>
  <c r="B13" i="3"/>
  <c r="B12" i="3"/>
  <c r="E12" i="3"/>
  <c r="E16" i="3"/>
  <c r="E14" i="3"/>
  <c r="E13" i="3"/>
  <c r="G12" i="3"/>
  <c r="K12" i="3"/>
  <c r="I12" i="3"/>
  <c r="H12" i="3"/>
  <c r="O12" i="3"/>
  <c r="L12" i="3"/>
  <c r="M12" i="3"/>
  <c r="J12" i="3"/>
  <c r="O13" i="3"/>
  <c r="G13" i="3"/>
  <c r="K13" i="3"/>
  <c r="N13" i="3"/>
  <c r="J13" i="3"/>
  <c r="I13" i="3"/>
  <c r="M13" i="3"/>
  <c r="L13" i="3"/>
  <c r="H13" i="3"/>
  <c r="J14" i="3"/>
  <c r="I14" i="3"/>
  <c r="H14" i="3"/>
  <c r="G14" i="3"/>
  <c r="O14" i="3"/>
  <c r="N14" i="3"/>
  <c r="L14" i="3"/>
  <c r="M14" i="3"/>
  <c r="K14" i="3"/>
  <c r="L33" i="33"/>
  <c r="AD58" i="4"/>
  <c r="R43" i="4"/>
  <c r="J43" i="4"/>
  <c r="L43" i="4"/>
  <c r="L34" i="33"/>
  <c r="AD50" i="33"/>
  <c r="R44" i="4"/>
  <c r="J44" i="4"/>
  <c r="L44" i="4"/>
  <c r="L35" i="33"/>
  <c r="N35" i="33"/>
  <c r="O27" i="26"/>
  <c r="G11" i="26"/>
  <c r="AD141" i="33"/>
  <c r="B26" i="30"/>
  <c r="E91" i="27"/>
  <c r="AD149" i="4"/>
  <c r="B25" i="12"/>
  <c r="N33" i="33"/>
  <c r="N32" i="33"/>
  <c r="N29" i="33"/>
  <c r="N31" i="33"/>
  <c r="N30" i="33"/>
  <c r="N34" i="33"/>
  <c r="R45" i="4"/>
  <c r="G123" i="3"/>
  <c r="R46" i="4"/>
  <c r="L29" i="4"/>
  <c r="L28" i="4"/>
  <c r="J20" i="2"/>
  <c r="J21" i="2"/>
  <c r="J19" i="2"/>
  <c r="I15" i="2"/>
  <c r="K15" i="2"/>
  <c r="I14" i="2"/>
  <c r="K14" i="2"/>
  <c r="H24" i="28"/>
  <c r="F26" i="30"/>
  <c r="D26" i="30"/>
  <c r="R47" i="4"/>
  <c r="R48" i="4"/>
  <c r="R49" i="4"/>
  <c r="R50" i="4"/>
  <c r="K28" i="10"/>
  <c r="K26" i="10"/>
  <c r="K25" i="10"/>
  <c r="K24" i="10"/>
  <c r="K23" i="10"/>
  <c r="R51" i="4"/>
  <c r="N55" i="18"/>
  <c r="A48" i="18"/>
  <c r="G44" i="18"/>
  <c r="A44" i="18"/>
  <c r="G47" i="18"/>
  <c r="A46" i="18"/>
  <c r="G43" i="18"/>
  <c r="D41" i="18"/>
  <c r="A41" i="18"/>
  <c r="A40" i="18"/>
  <c r="A39" i="18"/>
  <c r="A38" i="18"/>
  <c r="C30" i="18"/>
  <c r="A30" i="18"/>
  <c r="A29" i="18"/>
  <c r="A28" i="18"/>
  <c r="D36" i="18"/>
  <c r="E30" i="18"/>
  <c r="C24" i="18"/>
  <c r="C14" i="18"/>
  <c r="S8" i="18"/>
  <c r="F26" i="21"/>
  <c r="F22" i="21"/>
  <c r="F18" i="21"/>
  <c r="E4" i="21"/>
  <c r="N17" i="21"/>
  <c r="N28" i="21"/>
  <c r="N16" i="18"/>
  <c r="R52" i="4"/>
  <c r="G51" i="18"/>
  <c r="B20" i="10"/>
  <c r="A20" i="10"/>
  <c r="B19" i="10"/>
  <c r="A19" i="10"/>
  <c r="B18" i="10"/>
  <c r="A18" i="10"/>
  <c r="B17" i="10"/>
  <c r="A17" i="10"/>
  <c r="B16" i="10"/>
  <c r="A16" i="10"/>
  <c r="B15" i="10"/>
  <c r="A15" i="10"/>
  <c r="A93" i="10"/>
  <c r="A92" i="10"/>
  <c r="A91" i="10"/>
  <c r="A90" i="10"/>
  <c r="A89" i="10"/>
  <c r="A88" i="10"/>
  <c r="A87" i="10"/>
  <c r="A86" i="10"/>
  <c r="A85" i="10"/>
  <c r="A84" i="10"/>
  <c r="A83" i="10"/>
  <c r="A82" i="10"/>
  <c r="A81" i="10"/>
  <c r="A80" i="10"/>
  <c r="A79" i="10"/>
  <c r="A78" i="10"/>
  <c r="A77" i="10"/>
  <c r="A76" i="10"/>
  <c r="A75" i="10"/>
  <c r="A74" i="10"/>
  <c r="A73" i="10"/>
  <c r="A72" i="10"/>
  <c r="A71" i="10"/>
  <c r="J20" i="10"/>
  <c r="J19" i="10"/>
  <c r="J18" i="10"/>
  <c r="J17" i="10"/>
  <c r="J16" i="10"/>
  <c r="J15" i="10"/>
  <c r="N23" i="18"/>
  <c r="N31" i="18"/>
  <c r="R53" i="4"/>
  <c r="N35" i="18"/>
  <c r="N41" i="18"/>
  <c r="R54" i="4"/>
  <c r="N45" i="18"/>
  <c r="N46" i="18"/>
  <c r="N42" i="18"/>
  <c r="R55" i="4"/>
  <c r="N53" i="18"/>
  <c r="G45" i="18"/>
  <c r="R56" i="4"/>
  <c r="J93" i="10"/>
  <c r="J92" i="10"/>
  <c r="J91" i="10"/>
  <c r="J90" i="10"/>
  <c r="J89" i="10"/>
  <c r="J88" i="10"/>
  <c r="J87" i="10"/>
  <c r="J86" i="10"/>
  <c r="J85" i="10"/>
  <c r="J84" i="10"/>
  <c r="J83" i="10"/>
  <c r="J82" i="10"/>
  <c r="J81" i="10"/>
  <c r="J80" i="10"/>
  <c r="J79" i="10"/>
  <c r="J78" i="10"/>
  <c r="J77" i="10"/>
  <c r="J76" i="10"/>
  <c r="J75" i="10"/>
  <c r="J74" i="10"/>
  <c r="J73" i="10"/>
  <c r="J72" i="10"/>
  <c r="J71" i="10"/>
  <c r="R57" i="4"/>
  <c r="R58" i="4"/>
  <c r="R59" i="4"/>
  <c r="R60" i="4"/>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R61" i="4"/>
  <c r="R62" i="4"/>
  <c r="F25" i="12"/>
  <c r="D25" i="12"/>
  <c r="R63" i="4"/>
  <c r="R64" i="4"/>
  <c r="R65" i="4"/>
  <c r="R66" i="4"/>
  <c r="A21" i="26"/>
  <c r="R67" i="4"/>
  <c r="R68" i="4"/>
  <c r="R69" i="4"/>
  <c r="E15" i="3"/>
  <c r="D52" i="31"/>
  <c r="C44" i="27"/>
  <c r="G44" i="27"/>
  <c r="L44" i="27"/>
  <c r="F44" i="27"/>
  <c r="E44" i="27"/>
  <c r="K44" i="27"/>
  <c r="M44" i="27"/>
  <c r="I44" i="27"/>
  <c r="H44" i="27"/>
  <c r="J44" i="27"/>
  <c r="AF59" i="3" l="1"/>
  <c r="V59" i="3" s="1"/>
  <c r="D117" i="8"/>
  <c r="B54" i="10" s="1"/>
  <c r="AD72" i="3"/>
  <c r="T72" i="3" s="1"/>
  <c r="H72" i="3" s="1"/>
  <c r="B41" i="31"/>
  <c r="D41" i="31" s="1"/>
  <c r="C33" i="27" s="1"/>
  <c r="AF65" i="3"/>
  <c r="V65" i="3" s="1"/>
  <c r="AC65" i="3"/>
  <c r="S65" i="3" s="1"/>
  <c r="E104" i="8"/>
  <c r="D104" i="8"/>
  <c r="B41" i="10" s="1"/>
  <c r="B46" i="3"/>
  <c r="D45" i="3"/>
  <c r="AG45" i="3"/>
  <c r="W45" i="3" s="1"/>
  <c r="B70" i="3"/>
  <c r="B46" i="31" s="1"/>
  <c r="F46" i="31" s="1"/>
  <c r="AI45" i="3"/>
  <c r="Y45" i="3" s="1"/>
  <c r="AD45" i="3"/>
  <c r="T45" i="3" s="1"/>
  <c r="AJ45" i="3"/>
  <c r="Z45" i="3" s="1"/>
  <c r="AD59" i="3"/>
  <c r="T59" i="3" s="1"/>
  <c r="E131" i="8"/>
  <c r="AF72" i="3"/>
  <c r="V72" i="3" s="1"/>
  <c r="J72" i="3" s="1"/>
  <c r="AC45" i="3"/>
  <c r="S45" i="3" s="1"/>
  <c r="B21" i="31"/>
  <c r="F21" i="31" s="1"/>
  <c r="AE45" i="3"/>
  <c r="U45" i="3" s="1"/>
  <c r="B13" i="27"/>
  <c r="AH13" i="27" s="1"/>
  <c r="E103" i="8"/>
  <c r="D130" i="8"/>
  <c r="B67" i="10" s="1"/>
  <c r="AH45" i="3"/>
  <c r="X45" i="3" s="1"/>
  <c r="AF45" i="3"/>
  <c r="V45" i="3" s="1"/>
  <c r="D132" i="8"/>
  <c r="B69" i="10" s="1"/>
  <c r="E115" i="8"/>
  <c r="D115" i="8"/>
  <c r="B52" i="10" s="1"/>
  <c r="B57" i="3"/>
  <c r="AE57" i="3" s="1"/>
  <c r="U57" i="3" s="1"/>
  <c r="B52" i="3"/>
  <c r="D110" i="8"/>
  <c r="B47" i="10" s="1"/>
  <c r="E110" i="8"/>
  <c r="B48" i="3"/>
  <c r="AJ48" i="3" s="1"/>
  <c r="Z48" i="3" s="1"/>
  <c r="D106" i="8"/>
  <c r="B43" i="10" s="1"/>
  <c r="E106" i="8"/>
  <c r="AJ65" i="3"/>
  <c r="Z65" i="3" s="1"/>
  <c r="AK59" i="3"/>
  <c r="AA59" i="3" s="1"/>
  <c r="B27" i="27"/>
  <c r="AC27" i="27" s="1"/>
  <c r="D131" i="8"/>
  <c r="B68" i="10" s="1"/>
  <c r="D65" i="3"/>
  <c r="AJ59" i="3"/>
  <c r="Z59" i="3" s="1"/>
  <c r="E117" i="8"/>
  <c r="F41" i="31"/>
  <c r="AE65" i="3"/>
  <c r="U65" i="3" s="1"/>
  <c r="D103" i="8"/>
  <c r="B40" i="10" s="1"/>
  <c r="E128" i="8"/>
  <c r="AG65" i="3"/>
  <c r="W65" i="3" s="1"/>
  <c r="AI65" i="3"/>
  <c r="Y65" i="3" s="1"/>
  <c r="AD65" i="3"/>
  <c r="T65" i="3" s="1"/>
  <c r="AH65" i="3"/>
  <c r="X65" i="3" s="1"/>
  <c r="AK65" i="3"/>
  <c r="AA65" i="3" s="1"/>
  <c r="AC59" i="3"/>
  <c r="S59" i="3" s="1"/>
  <c r="B33" i="27"/>
  <c r="AI55" i="3"/>
  <c r="Y55" i="3" s="1"/>
  <c r="B31" i="31"/>
  <c r="AG55" i="3"/>
  <c r="W55" i="3" s="1"/>
  <c r="AE55" i="3"/>
  <c r="U55" i="3" s="1"/>
  <c r="AJ55" i="3"/>
  <c r="Z55" i="3" s="1"/>
  <c r="B23" i="27"/>
  <c r="AH55" i="3"/>
  <c r="X55" i="3" s="1"/>
  <c r="AC55" i="3"/>
  <c r="S55" i="3" s="1"/>
  <c r="AF55" i="3"/>
  <c r="V55" i="3" s="1"/>
  <c r="AK55" i="3"/>
  <c r="AA55" i="3" s="1"/>
  <c r="AD55" i="3"/>
  <c r="T55" i="3" s="1"/>
  <c r="E113" i="8"/>
  <c r="D113" i="8"/>
  <c r="B50" i="10" s="1"/>
  <c r="B53" i="3"/>
  <c r="E111" i="8"/>
  <c r="D111" i="8"/>
  <c r="B48" i="10" s="1"/>
  <c r="D124" i="8"/>
  <c r="B61" i="10" s="1"/>
  <c r="E124" i="8"/>
  <c r="B66" i="3"/>
  <c r="D126" i="8"/>
  <c r="B63" i="10" s="1"/>
  <c r="E126" i="8"/>
  <c r="B68" i="3"/>
  <c r="D13" i="27"/>
  <c r="AF13" i="27"/>
  <c r="AG13" i="27"/>
  <c r="B26" i="27"/>
  <c r="AI58" i="3"/>
  <c r="Y58" i="3" s="1"/>
  <c r="AF58" i="3"/>
  <c r="V58" i="3" s="1"/>
  <c r="B34" i="31"/>
  <c r="AE58" i="3"/>
  <c r="U58" i="3" s="1"/>
  <c r="AD58" i="3"/>
  <c r="T58" i="3" s="1"/>
  <c r="AJ58" i="3"/>
  <c r="Z58" i="3" s="1"/>
  <c r="AG58" i="3"/>
  <c r="W58" i="3" s="1"/>
  <c r="AK58" i="3"/>
  <c r="AA58" i="3" s="1"/>
  <c r="AC58" i="3"/>
  <c r="S58" i="3" s="1"/>
  <c r="B47" i="3"/>
  <c r="E105" i="8"/>
  <c r="D105" i="8"/>
  <c r="B42" i="10" s="1"/>
  <c r="B54" i="3"/>
  <c r="D112" i="8"/>
  <c r="B49" i="10" s="1"/>
  <c r="D123" i="8"/>
  <c r="B60" i="10" s="1"/>
  <c r="E123" i="8"/>
  <c r="D121" i="8"/>
  <c r="B58" i="10" s="1"/>
  <c r="B63" i="3"/>
  <c r="D129" i="8"/>
  <c r="B66" i="10" s="1"/>
  <c r="B71" i="3"/>
  <c r="E129" i="8"/>
  <c r="AK48" i="3"/>
  <c r="AA48" i="3" s="1"/>
  <c r="B16" i="27"/>
  <c r="D116" i="8"/>
  <c r="B53" i="10" s="1"/>
  <c r="E116" i="8"/>
  <c r="D73" i="3"/>
  <c r="C73" i="3" s="1"/>
  <c r="AK73" i="3"/>
  <c r="AA73" i="3" s="1"/>
  <c r="O73" i="3" s="1"/>
  <c r="AI73" i="3"/>
  <c r="Y73" i="3" s="1"/>
  <c r="M73" i="3" s="1"/>
  <c r="AG73" i="3"/>
  <c r="W73" i="3" s="1"/>
  <c r="K73" i="3" s="1"/>
  <c r="AE73" i="3"/>
  <c r="U73" i="3" s="1"/>
  <c r="I73" i="3" s="1"/>
  <c r="AC73" i="3"/>
  <c r="S73" i="3" s="1"/>
  <c r="G73" i="3" s="1"/>
  <c r="B41" i="27"/>
  <c r="AJ73" i="3"/>
  <c r="Z73" i="3" s="1"/>
  <c r="N73" i="3" s="1"/>
  <c r="AH73" i="3"/>
  <c r="X73" i="3" s="1"/>
  <c r="L73" i="3" s="1"/>
  <c r="AF73" i="3"/>
  <c r="V73" i="3" s="1"/>
  <c r="J73" i="3" s="1"/>
  <c r="AD73" i="3"/>
  <c r="T73" i="3" s="1"/>
  <c r="H73" i="3" s="1"/>
  <c r="B49" i="31"/>
  <c r="F49" i="31" s="1"/>
  <c r="AK74" i="3"/>
  <c r="AA74" i="3" s="1"/>
  <c r="O74" i="3" s="1"/>
  <c r="AI74" i="3"/>
  <c r="Y74" i="3" s="1"/>
  <c r="M74" i="3" s="1"/>
  <c r="AG74" i="3"/>
  <c r="W74" i="3" s="1"/>
  <c r="K74" i="3" s="1"/>
  <c r="AE74" i="3"/>
  <c r="U74" i="3" s="1"/>
  <c r="I74" i="3" s="1"/>
  <c r="AC74" i="3"/>
  <c r="S74" i="3" s="1"/>
  <c r="G74" i="3" s="1"/>
  <c r="B42" i="27"/>
  <c r="AJ74" i="3"/>
  <c r="Z74" i="3" s="1"/>
  <c r="N74" i="3" s="1"/>
  <c r="AH74" i="3"/>
  <c r="X74" i="3" s="1"/>
  <c r="L74" i="3" s="1"/>
  <c r="AF74" i="3"/>
  <c r="V74" i="3" s="1"/>
  <c r="J74" i="3" s="1"/>
  <c r="AD74" i="3"/>
  <c r="T74" i="3" s="1"/>
  <c r="H74" i="3" s="1"/>
  <c r="D74" i="3"/>
  <c r="C74" i="3" s="1"/>
  <c r="B50" i="31"/>
  <c r="F50" i="31" s="1"/>
  <c r="E108" i="8"/>
  <c r="B50" i="3"/>
  <c r="AH59" i="3"/>
  <c r="X59" i="3" s="1"/>
  <c r="AE59" i="3"/>
  <c r="U59" i="3" s="1"/>
  <c r="AG59" i="3"/>
  <c r="W59" i="3" s="1"/>
  <c r="B35" i="31"/>
  <c r="B40" i="27"/>
  <c r="B48" i="31"/>
  <c r="F48" i="31" s="1"/>
  <c r="D72" i="3"/>
  <c r="C72" i="3" s="1"/>
  <c r="AK72" i="3"/>
  <c r="AA72" i="3" s="1"/>
  <c r="O72" i="3" s="1"/>
  <c r="AI72" i="3"/>
  <c r="Y72" i="3" s="1"/>
  <c r="M72" i="3" s="1"/>
  <c r="AG72" i="3"/>
  <c r="W72" i="3" s="1"/>
  <c r="K72" i="3" s="1"/>
  <c r="AE72" i="3"/>
  <c r="U72" i="3" s="1"/>
  <c r="I72" i="3" s="1"/>
  <c r="AC72" i="3"/>
  <c r="S72" i="3" s="1"/>
  <c r="G72" i="3" s="1"/>
  <c r="E114" i="8"/>
  <c r="B56" i="3"/>
  <c r="B51" i="3"/>
  <c r="D109" i="8"/>
  <c r="B46" i="10" s="1"/>
  <c r="E109" i="8"/>
  <c r="B49" i="3"/>
  <c r="E107" i="8"/>
  <c r="B64" i="3"/>
  <c r="E122" i="8"/>
  <c r="E125" i="8"/>
  <c r="D125" i="8"/>
  <c r="B62" i="10" s="1"/>
  <c r="B67" i="3"/>
  <c r="AJ72" i="3"/>
  <c r="Z72" i="3" s="1"/>
  <c r="N72" i="3" s="1"/>
  <c r="AE13" i="27" l="1"/>
  <c r="AJ70" i="3"/>
  <c r="Z70" i="3" s="1"/>
  <c r="N70" i="3" s="1"/>
  <c r="AK13" i="27"/>
  <c r="AA13" i="27" s="1"/>
  <c r="AG27" i="27"/>
  <c r="AI70" i="3"/>
  <c r="Y70" i="3" s="1"/>
  <c r="M70" i="3" s="1"/>
  <c r="B33" i="31"/>
  <c r="D33" i="31" s="1"/>
  <c r="C25" i="27" s="1"/>
  <c r="AK70" i="3"/>
  <c r="AA70" i="3" s="1"/>
  <c r="O70" i="3" s="1"/>
  <c r="AF70" i="3"/>
  <c r="V70" i="3" s="1"/>
  <c r="J70" i="3" s="1"/>
  <c r="AG70" i="3"/>
  <c r="W70" i="3" s="1"/>
  <c r="K70" i="3" s="1"/>
  <c r="AH70" i="3"/>
  <c r="X70" i="3" s="1"/>
  <c r="L70" i="3" s="1"/>
  <c r="AI13" i="27"/>
  <c r="AJ13" i="27"/>
  <c r="Z13" i="27" s="1"/>
  <c r="D21" i="31"/>
  <c r="C13" i="27" s="1"/>
  <c r="X13" i="27" s="1"/>
  <c r="AE70" i="3"/>
  <c r="U70" i="3" s="1"/>
  <c r="I70" i="3" s="1"/>
  <c r="AD70" i="3"/>
  <c r="T70" i="3" s="1"/>
  <c r="H70" i="3" s="1"/>
  <c r="AE27" i="27"/>
  <c r="B22" i="31"/>
  <c r="AE46" i="3"/>
  <c r="U46" i="3" s="1"/>
  <c r="AG46" i="3"/>
  <c r="W46" i="3" s="1"/>
  <c r="AC46" i="3"/>
  <c r="S46" i="3" s="1"/>
  <c r="B14" i="27"/>
  <c r="AK46" i="3"/>
  <c r="AA46" i="3" s="1"/>
  <c r="AI46" i="3"/>
  <c r="Y46" i="3" s="1"/>
  <c r="AF46" i="3"/>
  <c r="V46" i="3" s="1"/>
  <c r="AJ46" i="3"/>
  <c r="Z46" i="3" s="1"/>
  <c r="AH46" i="3"/>
  <c r="X46" i="3" s="1"/>
  <c r="AD46" i="3"/>
  <c r="T46" i="3" s="1"/>
  <c r="D57" i="3"/>
  <c r="B38" i="27"/>
  <c r="AJ38" i="27" s="1"/>
  <c r="Z38" i="27" s="1"/>
  <c r="L38" i="27" s="1"/>
  <c r="D70" i="3"/>
  <c r="C70" i="3" s="1"/>
  <c r="AH57" i="3"/>
  <c r="X57" i="3" s="1"/>
  <c r="L57" i="3" s="1"/>
  <c r="AC70" i="3"/>
  <c r="S70" i="3" s="1"/>
  <c r="G70" i="3" s="1"/>
  <c r="AC13" i="27"/>
  <c r="AD13" i="27"/>
  <c r="B28" i="31"/>
  <c r="AD52" i="3"/>
  <c r="T52" i="3" s="1"/>
  <c r="AE52" i="3"/>
  <c r="U52" i="3" s="1"/>
  <c r="AC52" i="3"/>
  <c r="S52" i="3" s="1"/>
  <c r="B20" i="27"/>
  <c r="AI52" i="3"/>
  <c r="Y52" i="3" s="1"/>
  <c r="AH52" i="3"/>
  <c r="X52" i="3" s="1"/>
  <c r="AK52" i="3"/>
  <c r="AA52" i="3" s="1"/>
  <c r="AJ52" i="3"/>
  <c r="Z52" i="3" s="1"/>
  <c r="AG52" i="3"/>
  <c r="W52" i="3" s="1"/>
  <c r="AF52" i="3"/>
  <c r="V52" i="3" s="1"/>
  <c r="AI27" i="27"/>
  <c r="D27" i="27"/>
  <c r="W13" i="27"/>
  <c r="Y13" i="27"/>
  <c r="AD27" i="27"/>
  <c r="AJ27" i="27"/>
  <c r="D33" i="27"/>
  <c r="AI33" i="27"/>
  <c r="Y33" i="27" s="1"/>
  <c r="AG33" i="27"/>
  <c r="W33" i="27" s="1"/>
  <c r="AJ33" i="27"/>
  <c r="Z33" i="27" s="1"/>
  <c r="AF33" i="27"/>
  <c r="V33" i="27" s="1"/>
  <c r="AK33" i="27"/>
  <c r="AA33" i="27" s="1"/>
  <c r="AD33" i="27"/>
  <c r="T33" i="27" s="1"/>
  <c r="AE33" i="27"/>
  <c r="U33" i="27" s="1"/>
  <c r="AH33" i="27"/>
  <c r="X33" i="27" s="1"/>
  <c r="AC33" i="27"/>
  <c r="S33" i="27" s="1"/>
  <c r="AF27" i="27"/>
  <c r="AH27" i="27"/>
  <c r="AD57" i="3"/>
  <c r="T57" i="3" s="1"/>
  <c r="H57" i="3" s="1"/>
  <c r="AF57" i="3"/>
  <c r="V57" i="3" s="1"/>
  <c r="J57" i="3" s="1"/>
  <c r="AC57" i="3"/>
  <c r="S57" i="3" s="1"/>
  <c r="G57" i="3" s="1"/>
  <c r="AK57" i="3"/>
  <c r="AA57" i="3" s="1"/>
  <c r="O57" i="3" s="1"/>
  <c r="AG57" i="3"/>
  <c r="W57" i="3" s="1"/>
  <c r="AJ57" i="3"/>
  <c r="Z57" i="3" s="1"/>
  <c r="N57" i="3" s="1"/>
  <c r="AI57" i="3"/>
  <c r="Y57" i="3" s="1"/>
  <c r="M57" i="3" s="1"/>
  <c r="B25" i="27"/>
  <c r="AD25" i="27" s="1"/>
  <c r="V13" i="27"/>
  <c r="U13" i="27"/>
  <c r="AK27" i="27"/>
  <c r="AG48" i="3"/>
  <c r="W48" i="3" s="1"/>
  <c r="B24" i="31"/>
  <c r="AC48" i="3"/>
  <c r="S48" i="3" s="1"/>
  <c r="AH48" i="3"/>
  <c r="X48" i="3" s="1"/>
  <c r="AD48" i="3"/>
  <c r="T48" i="3" s="1"/>
  <c r="AF48" i="3"/>
  <c r="V48" i="3" s="1"/>
  <c r="D48" i="3"/>
  <c r="AE48" i="3"/>
  <c r="U48" i="3" s="1"/>
  <c r="AI48" i="3"/>
  <c r="Y48" i="3" s="1"/>
  <c r="B43" i="31"/>
  <c r="AJ67" i="3"/>
  <c r="Z67" i="3" s="1"/>
  <c r="AK67" i="3"/>
  <c r="AA67" i="3" s="1"/>
  <c r="AH67" i="3"/>
  <c r="X67" i="3" s="1"/>
  <c r="AG67" i="3"/>
  <c r="W67" i="3" s="1"/>
  <c r="AD67" i="3"/>
  <c r="T67" i="3" s="1"/>
  <c r="AE67" i="3"/>
  <c r="U67" i="3" s="1"/>
  <c r="B35" i="27"/>
  <c r="AC67" i="3"/>
  <c r="S67" i="3" s="1"/>
  <c r="AI67" i="3"/>
  <c r="Y67" i="3" s="1"/>
  <c r="D67" i="3"/>
  <c r="AF67" i="3"/>
  <c r="V67" i="3" s="1"/>
  <c r="D51" i="3"/>
  <c r="AF51" i="3"/>
  <c r="V51" i="3" s="1"/>
  <c r="AK51" i="3"/>
  <c r="AA51" i="3" s="1"/>
  <c r="AC51" i="3"/>
  <c r="S51" i="3" s="1"/>
  <c r="B27" i="31"/>
  <c r="AI51" i="3"/>
  <c r="Y51" i="3" s="1"/>
  <c r="AD51" i="3"/>
  <c r="T51" i="3" s="1"/>
  <c r="AH51" i="3"/>
  <c r="X51" i="3" s="1"/>
  <c r="B19" i="27"/>
  <c r="AG51" i="3"/>
  <c r="W51" i="3" s="1"/>
  <c r="AJ51" i="3"/>
  <c r="Z51" i="3" s="1"/>
  <c r="AE51" i="3"/>
  <c r="U51" i="3" s="1"/>
  <c r="D35" i="31"/>
  <c r="C27" i="27" s="1"/>
  <c r="F35" i="31"/>
  <c r="AF42" i="27"/>
  <c r="V42" i="27" s="1"/>
  <c r="H42" i="27" s="1"/>
  <c r="AD42" i="27"/>
  <c r="T42" i="27" s="1"/>
  <c r="F42" i="27" s="1"/>
  <c r="AC42" i="27"/>
  <c r="S42" i="27" s="1"/>
  <c r="E42" i="27" s="1"/>
  <c r="AI42" i="27"/>
  <c r="Y42" i="27" s="1"/>
  <c r="K42" i="27" s="1"/>
  <c r="D42" i="27"/>
  <c r="AG42" i="27"/>
  <c r="W42" i="27" s="1"/>
  <c r="I42" i="27" s="1"/>
  <c r="AK42" i="27"/>
  <c r="AA42" i="27" s="1"/>
  <c r="M42" i="27" s="1"/>
  <c r="AH42" i="27"/>
  <c r="X42" i="27" s="1"/>
  <c r="J42" i="27" s="1"/>
  <c r="AJ42" i="27"/>
  <c r="Z42" i="27" s="1"/>
  <c r="L42" i="27" s="1"/>
  <c r="AE42" i="27"/>
  <c r="U42" i="27" s="1"/>
  <c r="G42" i="27" s="1"/>
  <c r="AJ71" i="3"/>
  <c r="Z71" i="3" s="1"/>
  <c r="N71" i="3" s="1"/>
  <c r="AH71" i="3"/>
  <c r="X71" i="3" s="1"/>
  <c r="L71" i="3" s="1"/>
  <c r="AF71" i="3"/>
  <c r="V71" i="3" s="1"/>
  <c r="J71" i="3" s="1"/>
  <c r="AD71" i="3"/>
  <c r="T71" i="3" s="1"/>
  <c r="H71" i="3" s="1"/>
  <c r="B47" i="31"/>
  <c r="F47" i="31" s="1"/>
  <c r="D71" i="3"/>
  <c r="C71" i="3" s="1"/>
  <c r="AK71" i="3"/>
  <c r="AA71" i="3" s="1"/>
  <c r="O71" i="3" s="1"/>
  <c r="AI71" i="3"/>
  <c r="Y71" i="3" s="1"/>
  <c r="M71" i="3" s="1"/>
  <c r="AG71" i="3"/>
  <c r="W71" i="3" s="1"/>
  <c r="K71" i="3" s="1"/>
  <c r="AE71" i="3"/>
  <c r="U71" i="3" s="1"/>
  <c r="I71" i="3" s="1"/>
  <c r="AC71" i="3"/>
  <c r="S71" i="3" s="1"/>
  <c r="G71" i="3" s="1"/>
  <c r="B39" i="27"/>
  <c r="AG26" i="27"/>
  <c r="AE26" i="27"/>
  <c r="AC26" i="27"/>
  <c r="AF26" i="27"/>
  <c r="D26" i="27"/>
  <c r="AI26" i="27"/>
  <c r="AD26" i="27"/>
  <c r="AH26" i="27"/>
  <c r="AJ26" i="27"/>
  <c r="AK26" i="27"/>
  <c r="F34" i="31"/>
  <c r="D34" i="31"/>
  <c r="C26" i="27" s="1"/>
  <c r="AK56" i="3"/>
  <c r="AA56" i="3" s="1"/>
  <c r="AG56" i="3"/>
  <c r="W56" i="3" s="1"/>
  <c r="AD56" i="3"/>
  <c r="T56" i="3" s="1"/>
  <c r="AF56" i="3"/>
  <c r="V56" i="3" s="1"/>
  <c r="AE56" i="3"/>
  <c r="U56" i="3" s="1"/>
  <c r="B32" i="31"/>
  <c r="B24" i="27"/>
  <c r="AI56" i="3"/>
  <c r="Y56" i="3" s="1"/>
  <c r="AJ56" i="3"/>
  <c r="Z56" i="3" s="1"/>
  <c r="AC56" i="3"/>
  <c r="S56" i="3" s="1"/>
  <c r="AH56" i="3"/>
  <c r="X56" i="3" s="1"/>
  <c r="B22" i="27"/>
  <c r="D54" i="3"/>
  <c r="AJ54" i="3"/>
  <c r="Z54" i="3" s="1"/>
  <c r="AH54" i="3"/>
  <c r="X54" i="3" s="1"/>
  <c r="AD54" i="3"/>
  <c r="T54" i="3" s="1"/>
  <c r="AI54" i="3"/>
  <c r="Y54" i="3" s="1"/>
  <c r="AK54" i="3"/>
  <c r="AA54" i="3" s="1"/>
  <c r="AE54" i="3"/>
  <c r="U54" i="3" s="1"/>
  <c r="AC54" i="3"/>
  <c r="S54" i="3" s="1"/>
  <c r="B30" i="31"/>
  <c r="AF54" i="3"/>
  <c r="V54" i="3" s="1"/>
  <c r="J54" i="3" s="1"/>
  <c r="AG54" i="3"/>
  <c r="W54" i="3" s="1"/>
  <c r="I57" i="3"/>
  <c r="AH49" i="3"/>
  <c r="X49" i="3" s="1"/>
  <c r="AI49" i="3"/>
  <c r="Y49" i="3" s="1"/>
  <c r="B17" i="27"/>
  <c r="AF49" i="3"/>
  <c r="V49" i="3" s="1"/>
  <c r="B25" i="31"/>
  <c r="AD49" i="3"/>
  <c r="T49" i="3" s="1"/>
  <c r="AC49" i="3"/>
  <c r="S49" i="3" s="1"/>
  <c r="AE49" i="3"/>
  <c r="U49" i="3" s="1"/>
  <c r="AG49" i="3"/>
  <c r="W49" i="3" s="1"/>
  <c r="AJ49" i="3"/>
  <c r="Z49" i="3" s="1"/>
  <c r="AK49" i="3"/>
  <c r="AA49" i="3" s="1"/>
  <c r="AE64" i="3"/>
  <c r="U64" i="3" s="1"/>
  <c r="AI64" i="3"/>
  <c r="Y64" i="3" s="1"/>
  <c r="B32" i="27"/>
  <c r="AG64" i="3"/>
  <c r="W64" i="3" s="1"/>
  <c r="AK64" i="3"/>
  <c r="AA64" i="3" s="1"/>
  <c r="AF64" i="3"/>
  <c r="V64" i="3" s="1"/>
  <c r="AC64" i="3"/>
  <c r="S64" i="3" s="1"/>
  <c r="AD64" i="3"/>
  <c r="T64" i="3" s="1"/>
  <c r="AJ64" i="3"/>
  <c r="Z64" i="3" s="1"/>
  <c r="B40" i="31"/>
  <c r="AH64" i="3"/>
  <c r="X64" i="3" s="1"/>
  <c r="AK16" i="27"/>
  <c r="AC16" i="27"/>
  <c r="D16" i="27"/>
  <c r="AJ16" i="27"/>
  <c r="AG16" i="27"/>
  <c r="AD16" i="27"/>
  <c r="AH16" i="27"/>
  <c r="AE16" i="27"/>
  <c r="AF16" i="27"/>
  <c r="AI16" i="27"/>
  <c r="B31" i="27"/>
  <c r="B39" i="31"/>
  <c r="AE63" i="3"/>
  <c r="U63" i="3" s="1"/>
  <c r="AI63" i="3"/>
  <c r="Y63" i="3" s="1"/>
  <c r="AC63" i="3"/>
  <c r="S63" i="3" s="1"/>
  <c r="AD63" i="3"/>
  <c r="T63" i="3" s="1"/>
  <c r="AF63" i="3"/>
  <c r="V63" i="3" s="1"/>
  <c r="D63" i="3"/>
  <c r="AK63" i="3"/>
  <c r="AA63" i="3" s="1"/>
  <c r="AH63" i="3"/>
  <c r="X63" i="3" s="1"/>
  <c r="AJ63" i="3"/>
  <c r="Z63" i="3" s="1"/>
  <c r="AG63" i="3"/>
  <c r="W63" i="3" s="1"/>
  <c r="D38" i="27"/>
  <c r="AC38" i="27"/>
  <c r="S38" i="27" s="1"/>
  <c r="E38" i="27" s="1"/>
  <c r="AF38" i="27"/>
  <c r="V38" i="27" s="1"/>
  <c r="H38" i="27" s="1"/>
  <c r="AE38" i="27"/>
  <c r="U38" i="27" s="1"/>
  <c r="G38" i="27" s="1"/>
  <c r="B44" i="31"/>
  <c r="AK68" i="3"/>
  <c r="AA68" i="3" s="1"/>
  <c r="AE68" i="3"/>
  <c r="U68" i="3" s="1"/>
  <c r="AC68" i="3"/>
  <c r="S68" i="3" s="1"/>
  <c r="AD68" i="3"/>
  <c r="T68" i="3" s="1"/>
  <c r="AF68" i="3"/>
  <c r="V68" i="3" s="1"/>
  <c r="AI68" i="3"/>
  <c r="Y68" i="3" s="1"/>
  <c r="AH68" i="3"/>
  <c r="X68" i="3" s="1"/>
  <c r="AJ68" i="3"/>
  <c r="Z68" i="3" s="1"/>
  <c r="AG68" i="3"/>
  <c r="W68" i="3" s="1"/>
  <c r="B36" i="27"/>
  <c r="B26" i="31"/>
  <c r="AI50" i="3"/>
  <c r="Y50" i="3" s="1"/>
  <c r="AH50" i="3"/>
  <c r="X50" i="3" s="1"/>
  <c r="B18" i="27"/>
  <c r="AC50" i="3"/>
  <c r="S50" i="3" s="1"/>
  <c r="AD50" i="3"/>
  <c r="T50" i="3" s="1"/>
  <c r="AE50" i="3"/>
  <c r="U50" i="3" s="1"/>
  <c r="AG50" i="3"/>
  <c r="W50" i="3" s="1"/>
  <c r="AJ50" i="3"/>
  <c r="Z50" i="3" s="1"/>
  <c r="AF50" i="3"/>
  <c r="V50" i="3" s="1"/>
  <c r="AK50" i="3"/>
  <c r="AA50" i="3" s="1"/>
  <c r="AH47" i="3"/>
  <c r="X47" i="3" s="1"/>
  <c r="AJ47" i="3"/>
  <c r="Z47" i="3" s="1"/>
  <c r="B15" i="27"/>
  <c r="B23" i="31"/>
  <c r="AE47" i="3"/>
  <c r="U47" i="3" s="1"/>
  <c r="AF47" i="3"/>
  <c r="V47" i="3" s="1"/>
  <c r="AD47" i="3"/>
  <c r="T47" i="3" s="1"/>
  <c r="AG47" i="3"/>
  <c r="W47" i="3" s="1"/>
  <c r="AK47" i="3"/>
  <c r="AA47" i="3" s="1"/>
  <c r="O45" i="3" s="1"/>
  <c r="AI47" i="3"/>
  <c r="Y47" i="3" s="1"/>
  <c r="M45" i="3" s="1"/>
  <c r="AC47" i="3"/>
  <c r="S47" i="3" s="1"/>
  <c r="G45" i="3" s="1"/>
  <c r="B21" i="27"/>
  <c r="AE53" i="3"/>
  <c r="U53" i="3" s="1"/>
  <c r="AJ53" i="3"/>
  <c r="Z53" i="3" s="1"/>
  <c r="AC53" i="3"/>
  <c r="S53" i="3" s="1"/>
  <c r="AH53" i="3"/>
  <c r="X53" i="3" s="1"/>
  <c r="AI53" i="3"/>
  <c r="Y53" i="3" s="1"/>
  <c r="B29" i="31"/>
  <c r="AG53" i="3"/>
  <c r="W53" i="3" s="1"/>
  <c r="AD53" i="3"/>
  <c r="T53" i="3" s="1"/>
  <c r="AK53" i="3"/>
  <c r="AA53" i="3" s="1"/>
  <c r="AF53" i="3"/>
  <c r="V53" i="3" s="1"/>
  <c r="F31" i="31"/>
  <c r="D31" i="31"/>
  <c r="C23" i="27" s="1"/>
  <c r="AE40" i="27"/>
  <c r="U40" i="27" s="1"/>
  <c r="G40" i="27" s="1"/>
  <c r="AD40" i="27"/>
  <c r="T40" i="27" s="1"/>
  <c r="F40" i="27" s="1"/>
  <c r="AG40" i="27"/>
  <c r="W40" i="27" s="1"/>
  <c r="I40" i="27" s="1"/>
  <c r="AH40" i="27"/>
  <c r="X40" i="27" s="1"/>
  <c r="J40" i="27" s="1"/>
  <c r="AJ40" i="27"/>
  <c r="Z40" i="27" s="1"/>
  <c r="L40" i="27" s="1"/>
  <c r="AF40" i="27"/>
  <c r="V40" i="27" s="1"/>
  <c r="H40" i="27" s="1"/>
  <c r="AI40" i="27"/>
  <c r="Y40" i="27" s="1"/>
  <c r="K40" i="27" s="1"/>
  <c r="AK40" i="27"/>
  <c r="AA40" i="27" s="1"/>
  <c r="M40" i="27" s="1"/>
  <c r="D40" i="27"/>
  <c r="AC40" i="27"/>
  <c r="S40" i="27" s="1"/>
  <c r="E40" i="27" s="1"/>
  <c r="AF41" i="27"/>
  <c r="V41" i="27" s="1"/>
  <c r="H41" i="27" s="1"/>
  <c r="AE41" i="27"/>
  <c r="U41" i="27" s="1"/>
  <c r="G41" i="27" s="1"/>
  <c r="AI41" i="27"/>
  <c r="Y41" i="27" s="1"/>
  <c r="K41" i="27" s="1"/>
  <c r="AC41" i="27"/>
  <c r="S41" i="27" s="1"/>
  <c r="E41" i="27" s="1"/>
  <c r="AH41" i="27"/>
  <c r="X41" i="27" s="1"/>
  <c r="J41" i="27" s="1"/>
  <c r="AD41" i="27"/>
  <c r="T41" i="27" s="1"/>
  <c r="F41" i="27" s="1"/>
  <c r="AG41" i="27"/>
  <c r="W41" i="27" s="1"/>
  <c r="I41" i="27" s="1"/>
  <c r="D41" i="27"/>
  <c r="AJ41" i="27"/>
  <c r="Z41" i="27" s="1"/>
  <c r="L41" i="27" s="1"/>
  <c r="AK41" i="27"/>
  <c r="AA41" i="27" s="1"/>
  <c r="M41" i="27" s="1"/>
  <c r="K57" i="3"/>
  <c r="AJ66" i="3"/>
  <c r="Z66" i="3" s="1"/>
  <c r="N65" i="3" s="1"/>
  <c r="B42" i="31"/>
  <c r="AD66" i="3"/>
  <c r="T66" i="3" s="1"/>
  <c r="H65" i="3" s="1"/>
  <c r="AK66" i="3"/>
  <c r="AA66" i="3" s="1"/>
  <c r="O65" i="3" s="1"/>
  <c r="AG66" i="3"/>
  <c r="W66" i="3" s="1"/>
  <c r="K65" i="3" s="1"/>
  <c r="AE66" i="3"/>
  <c r="U66" i="3" s="1"/>
  <c r="I65" i="3" s="1"/>
  <c r="AF66" i="3"/>
  <c r="V66" i="3" s="1"/>
  <c r="J65" i="3" s="1"/>
  <c r="B34" i="27"/>
  <c r="AI66" i="3"/>
  <c r="Y66" i="3" s="1"/>
  <c r="M65" i="3" s="1"/>
  <c r="AH66" i="3"/>
  <c r="X66" i="3" s="1"/>
  <c r="L65" i="3" s="1"/>
  <c r="AC66" i="3"/>
  <c r="S66" i="3" s="1"/>
  <c r="G65" i="3" s="1"/>
  <c r="D23" i="27"/>
  <c r="AH23" i="27"/>
  <c r="AK23" i="27"/>
  <c r="AF23" i="27"/>
  <c r="AI23" i="27"/>
  <c r="AE23" i="27"/>
  <c r="AJ23" i="27"/>
  <c r="AD23" i="27"/>
  <c r="AC23" i="27"/>
  <c r="AG23" i="27"/>
  <c r="F33" i="31" l="1"/>
  <c r="T13" i="27"/>
  <c r="AK25" i="27"/>
  <c r="G63" i="3"/>
  <c r="I45" i="3"/>
  <c r="S13" i="27"/>
  <c r="AC25" i="27"/>
  <c r="S25" i="27" s="1"/>
  <c r="K45" i="3"/>
  <c r="N45" i="3"/>
  <c r="AE25" i="27"/>
  <c r="D25" i="27"/>
  <c r="K54" i="3"/>
  <c r="N63" i="3"/>
  <c r="L45" i="3"/>
  <c r="F22" i="31"/>
  <c r="D22" i="31"/>
  <c r="C14" i="27" s="1"/>
  <c r="AD38" i="27"/>
  <c r="T38" i="27" s="1"/>
  <c r="F38" i="27" s="1"/>
  <c r="M63" i="3"/>
  <c r="O54" i="3"/>
  <c r="AH38" i="27"/>
  <c r="X38" i="27" s="1"/>
  <c r="J38" i="27" s="1"/>
  <c r="O63" i="3"/>
  <c r="I63" i="3"/>
  <c r="O48" i="3"/>
  <c r="AE14" i="27"/>
  <c r="AK14" i="27"/>
  <c r="AC14" i="27"/>
  <c r="AJ14" i="27"/>
  <c r="AI14" i="27"/>
  <c r="D14" i="27"/>
  <c r="AF14" i="27"/>
  <c r="AG14" i="27"/>
  <c r="AD14" i="27"/>
  <c r="AH14" i="27"/>
  <c r="H45" i="3"/>
  <c r="AG38" i="27"/>
  <c r="W38" i="27" s="1"/>
  <c r="I38" i="27" s="1"/>
  <c r="AI38" i="27"/>
  <c r="Y38" i="27" s="1"/>
  <c r="K38" i="27" s="1"/>
  <c r="J45" i="3"/>
  <c r="AK38" i="27"/>
  <c r="AA38" i="27" s="1"/>
  <c r="M38" i="27" s="1"/>
  <c r="H63" i="3"/>
  <c r="AG25" i="27"/>
  <c r="W25" i="27" s="1"/>
  <c r="K63" i="3"/>
  <c r="G54" i="3"/>
  <c r="N54" i="3"/>
  <c r="L54" i="3"/>
  <c r="AJ25" i="27"/>
  <c r="Z25" i="27" s="1"/>
  <c r="I54" i="3"/>
  <c r="AI25" i="27"/>
  <c r="Y25" i="27" s="1"/>
  <c r="AH25" i="27"/>
  <c r="X25" i="27" s="1"/>
  <c r="L63" i="3"/>
  <c r="D28" i="31"/>
  <c r="C20" i="27" s="1"/>
  <c r="F28" i="31"/>
  <c r="AF25" i="27"/>
  <c r="V25" i="27" s="1"/>
  <c r="N48" i="3"/>
  <c r="D24" i="31"/>
  <c r="C16" i="27" s="1"/>
  <c r="W16" i="27" s="1"/>
  <c r="F24" i="31"/>
  <c r="AC20" i="27"/>
  <c r="AF20" i="27"/>
  <c r="AH20" i="27"/>
  <c r="AI20" i="27"/>
  <c r="AJ20" i="27"/>
  <c r="AE20" i="27"/>
  <c r="D20" i="27"/>
  <c r="AG20" i="27"/>
  <c r="AD20" i="27"/>
  <c r="AK20" i="27"/>
  <c r="AA23" i="27"/>
  <c r="X23" i="27"/>
  <c r="Z23" i="27"/>
  <c r="U23" i="27"/>
  <c r="Y23" i="27"/>
  <c r="V23" i="27"/>
  <c r="S23" i="27"/>
  <c r="W23" i="27"/>
  <c r="T23" i="27"/>
  <c r="D15" i="27"/>
  <c r="AJ15" i="27"/>
  <c r="AK15" i="27"/>
  <c r="AF15" i="27"/>
  <c r="AD15" i="27"/>
  <c r="AG15" i="27"/>
  <c r="AC15" i="27"/>
  <c r="AE15" i="27"/>
  <c r="AI15" i="27"/>
  <c r="AH15" i="27"/>
  <c r="D32" i="27"/>
  <c r="AI32" i="27"/>
  <c r="AF32" i="27"/>
  <c r="AG32" i="27"/>
  <c r="AH32" i="27"/>
  <c r="AK32" i="27"/>
  <c r="AC32" i="27"/>
  <c r="AJ32" i="27"/>
  <c r="AE32" i="27"/>
  <c r="AD32" i="27"/>
  <c r="I48" i="3"/>
  <c r="M48" i="3"/>
  <c r="F30" i="31"/>
  <c r="D30" i="31"/>
  <c r="C22" i="27" s="1"/>
  <c r="N51" i="3"/>
  <c r="D27" i="31"/>
  <c r="C19" i="27" s="1"/>
  <c r="F27" i="31"/>
  <c r="J67" i="3"/>
  <c r="H67" i="3"/>
  <c r="D34" i="27"/>
  <c r="AD34" i="27"/>
  <c r="AE34" i="27"/>
  <c r="AH34" i="27"/>
  <c r="AJ34" i="27"/>
  <c r="AC34" i="27"/>
  <c r="AK34" i="27"/>
  <c r="AG34" i="27"/>
  <c r="AF34" i="27"/>
  <c r="AI34" i="27"/>
  <c r="F42" i="31"/>
  <c r="D42" i="31"/>
  <c r="C34" i="27" s="1"/>
  <c r="G48" i="3"/>
  <c r="L48" i="3"/>
  <c r="K51" i="3"/>
  <c r="G51" i="3"/>
  <c r="K67" i="3"/>
  <c r="U25" i="27"/>
  <c r="T25" i="27"/>
  <c r="AA25" i="27"/>
  <c r="F29" i="31"/>
  <c r="D29" i="31"/>
  <c r="C21" i="27" s="1"/>
  <c r="D21" i="27"/>
  <c r="AI21" i="27"/>
  <c r="AK21" i="27"/>
  <c r="AC21" i="27"/>
  <c r="AJ21" i="27"/>
  <c r="AE21" i="27"/>
  <c r="AD21" i="27"/>
  <c r="AF21" i="27"/>
  <c r="AH21" i="27"/>
  <c r="AG21" i="27"/>
  <c r="F26" i="31"/>
  <c r="D26" i="31"/>
  <c r="C18" i="27" s="1"/>
  <c r="H48" i="3"/>
  <c r="AE24" i="27"/>
  <c r="D24" i="27"/>
  <c r="AH24" i="27"/>
  <c r="AK24" i="27"/>
  <c r="AF24" i="27"/>
  <c r="AJ24" i="27"/>
  <c r="AD24" i="27"/>
  <c r="AI24" i="27"/>
  <c r="AC24" i="27"/>
  <c r="AG24" i="27"/>
  <c r="AG19" i="27"/>
  <c r="AC19" i="27"/>
  <c r="AK19" i="27"/>
  <c r="AE19" i="27"/>
  <c r="AD19" i="27"/>
  <c r="AH19" i="27"/>
  <c r="D19" i="27"/>
  <c r="AJ19" i="27"/>
  <c r="AI19" i="27"/>
  <c r="AF19" i="27"/>
  <c r="O51" i="3"/>
  <c r="M67" i="3"/>
  <c r="L67" i="3"/>
  <c r="F44" i="31"/>
  <c r="D44" i="31"/>
  <c r="C36" i="27" s="1"/>
  <c r="F25" i="31"/>
  <c r="D25" i="31"/>
  <c r="C17" i="27" s="1"/>
  <c r="AK22" i="27"/>
  <c r="AJ22" i="27"/>
  <c r="AE22" i="27"/>
  <c r="AI22" i="27"/>
  <c r="AF22" i="27"/>
  <c r="AH22" i="27"/>
  <c r="D22" i="27"/>
  <c r="AC22" i="27"/>
  <c r="AD22" i="27"/>
  <c r="AG22" i="27"/>
  <c r="F32" i="31"/>
  <c r="D32" i="31"/>
  <c r="C24" i="27" s="1"/>
  <c r="X26" i="27"/>
  <c r="S26" i="27"/>
  <c r="U26" i="27"/>
  <c r="Z26" i="27"/>
  <c r="T26" i="27"/>
  <c r="AA26" i="27"/>
  <c r="Y26" i="27"/>
  <c r="W26" i="27"/>
  <c r="V26" i="27"/>
  <c r="L51" i="3"/>
  <c r="J51" i="3"/>
  <c r="G67" i="3"/>
  <c r="O67" i="3"/>
  <c r="F39" i="31"/>
  <c r="D39" i="31"/>
  <c r="C31" i="27" s="1"/>
  <c r="J48" i="3"/>
  <c r="M54" i="3"/>
  <c r="X27" i="27"/>
  <c r="S27" i="27"/>
  <c r="V27" i="27"/>
  <c r="W27" i="27"/>
  <c r="U27" i="27"/>
  <c r="T27" i="27"/>
  <c r="Z27" i="27"/>
  <c r="Y27" i="27"/>
  <c r="AA27" i="27"/>
  <c r="H51" i="3"/>
  <c r="D35" i="27"/>
  <c r="AC35" i="27"/>
  <c r="AH35" i="27"/>
  <c r="AF35" i="27"/>
  <c r="AI35" i="27"/>
  <c r="AJ35" i="27"/>
  <c r="AD35" i="27"/>
  <c r="AG35" i="27"/>
  <c r="AE35" i="27"/>
  <c r="AK35" i="27"/>
  <c r="N67" i="3"/>
  <c r="F23" i="31"/>
  <c r="D23" i="31"/>
  <c r="C15" i="27" s="1"/>
  <c r="AE18" i="27"/>
  <c r="AK18" i="27"/>
  <c r="AI18" i="27"/>
  <c r="AD18" i="27"/>
  <c r="AH18" i="27"/>
  <c r="AJ18" i="27"/>
  <c r="AG18" i="27"/>
  <c r="AC18" i="27"/>
  <c r="AF18" i="27"/>
  <c r="D18" i="27"/>
  <c r="AC36" i="27"/>
  <c r="AD36" i="27"/>
  <c r="AF36" i="27"/>
  <c r="D36" i="27"/>
  <c r="AJ36" i="27"/>
  <c r="AK36" i="27"/>
  <c r="AI36" i="27"/>
  <c r="AH36" i="27"/>
  <c r="AE36" i="27"/>
  <c r="AG36" i="27"/>
  <c r="J63" i="3"/>
  <c r="AJ31" i="27"/>
  <c r="AK31" i="27"/>
  <c r="AD31" i="27"/>
  <c r="D31" i="27"/>
  <c r="AI31" i="27"/>
  <c r="AE31" i="27"/>
  <c r="AF31" i="27"/>
  <c r="AC31" i="27"/>
  <c r="AH31" i="27"/>
  <c r="AG31" i="27"/>
  <c r="F40" i="31"/>
  <c r="D40" i="31"/>
  <c r="C32" i="27" s="1"/>
  <c r="K48" i="3"/>
  <c r="AF17" i="27"/>
  <c r="AD17" i="27"/>
  <c r="AJ17" i="27"/>
  <c r="D17" i="27"/>
  <c r="AH17" i="27"/>
  <c r="AC17" i="27"/>
  <c r="AG17" i="27"/>
  <c r="AK17" i="27"/>
  <c r="AI17" i="27"/>
  <c r="AE17" i="27"/>
  <c r="H54" i="3"/>
  <c r="D39" i="27"/>
  <c r="AK39" i="27"/>
  <c r="AA39" i="27" s="1"/>
  <c r="M39" i="27" s="1"/>
  <c r="AG39" i="27"/>
  <c r="W39" i="27" s="1"/>
  <c r="I39" i="27" s="1"/>
  <c r="AJ39" i="27"/>
  <c r="Z39" i="27" s="1"/>
  <c r="L39" i="27" s="1"/>
  <c r="AF39" i="27"/>
  <c r="V39" i="27" s="1"/>
  <c r="H39" i="27" s="1"/>
  <c r="AE39" i="27"/>
  <c r="U39" i="27" s="1"/>
  <c r="G39" i="27" s="1"/>
  <c r="AC39" i="27"/>
  <c r="S39" i="27" s="1"/>
  <c r="E39" i="27" s="1"/>
  <c r="AI39" i="27"/>
  <c r="Y39" i="27" s="1"/>
  <c r="K39" i="27" s="1"/>
  <c r="AH39" i="27"/>
  <c r="X39" i="27" s="1"/>
  <c r="J39" i="27" s="1"/>
  <c r="AD39" i="27"/>
  <c r="T39" i="27" s="1"/>
  <c r="F39" i="27" s="1"/>
  <c r="I51" i="3"/>
  <c r="M51" i="3"/>
  <c r="I67" i="3"/>
  <c r="F43" i="31"/>
  <c r="D43" i="31"/>
  <c r="C35" i="27" s="1"/>
  <c r="S20" i="27" l="1"/>
  <c r="G109" i="3"/>
  <c r="G112" i="3" s="1"/>
  <c r="G114" i="3" s="1"/>
  <c r="B13" i="12" s="1"/>
  <c r="D13" i="12" s="1"/>
  <c r="O109" i="3"/>
  <c r="O112" i="3" s="1"/>
  <c r="G124" i="3" s="1"/>
  <c r="B26" i="12" s="1"/>
  <c r="F26" i="12" s="1"/>
  <c r="O19" i="26" s="1" a="1"/>
  <c r="O19" i="26" s="1"/>
  <c r="A20" i="26" s="1"/>
  <c r="Z20" i="27"/>
  <c r="H109" i="3"/>
  <c r="H112" i="3" s="1"/>
  <c r="G115" i="3" s="1"/>
  <c r="B14" i="12" s="1"/>
  <c r="D14" i="12" s="1"/>
  <c r="U14" i="27"/>
  <c r="X14" i="27"/>
  <c r="S14" i="27"/>
  <c r="Z14" i="27"/>
  <c r="W14" i="27"/>
  <c r="Y14" i="27"/>
  <c r="AA14" i="27"/>
  <c r="V14" i="27"/>
  <c r="T14" i="27"/>
  <c r="K109" i="3"/>
  <c r="K112" i="3" s="1"/>
  <c r="G118" i="3" s="1"/>
  <c r="B17" i="12" s="1"/>
  <c r="D17" i="12" s="1"/>
  <c r="N109" i="3"/>
  <c r="N112" i="3" s="1"/>
  <c r="G120" i="3" s="1"/>
  <c r="B19" i="12" s="1"/>
  <c r="D19" i="12" s="1"/>
  <c r="W20" i="27"/>
  <c r="V20" i="27"/>
  <c r="AA16" i="27"/>
  <c r="M109" i="3"/>
  <c r="M112" i="3" s="1"/>
  <c r="G121" i="3" s="1"/>
  <c r="B20" i="12" s="1"/>
  <c r="AA20" i="27"/>
  <c r="Y20" i="27"/>
  <c r="S16" i="27"/>
  <c r="I109" i="3"/>
  <c r="I112" i="3" s="1"/>
  <c r="G116" i="3" s="1"/>
  <c r="B15" i="12" s="1"/>
  <c r="D15" i="12" s="1"/>
  <c r="T20" i="27"/>
  <c r="X20" i="27"/>
  <c r="T16" i="27"/>
  <c r="U16" i="27"/>
  <c r="V16" i="27"/>
  <c r="Z16" i="27"/>
  <c r="Y16" i="27"/>
  <c r="J109" i="3"/>
  <c r="J112" i="3" s="1"/>
  <c r="G117" i="3" s="1"/>
  <c r="B16" i="12" s="1"/>
  <c r="D16" i="12" s="1"/>
  <c r="X16" i="27"/>
  <c r="L109" i="3"/>
  <c r="L112" i="3" s="1"/>
  <c r="G119" i="3" s="1"/>
  <c r="B18" i="12" s="1"/>
  <c r="F18" i="12" s="1"/>
  <c r="U20" i="27"/>
  <c r="V36" i="27"/>
  <c r="X36" i="27"/>
  <c r="S36" i="27"/>
  <c r="AA36" i="27"/>
  <c r="Z36" i="27"/>
  <c r="T36" i="27"/>
  <c r="W36" i="27"/>
  <c r="Y36" i="27"/>
  <c r="U36" i="27"/>
  <c r="V21" i="27"/>
  <c r="X21" i="27"/>
  <c r="W21" i="27"/>
  <c r="Z21" i="27"/>
  <c r="U21" i="27"/>
  <c r="T21" i="27"/>
  <c r="Y21" i="27"/>
  <c r="S21" i="27"/>
  <c r="AA21" i="27"/>
  <c r="L25" i="27"/>
  <c r="X22" i="27"/>
  <c r="AA22" i="27"/>
  <c r="U22" i="27"/>
  <c r="Y22" i="27"/>
  <c r="Z22" i="27"/>
  <c r="T22" i="27"/>
  <c r="V22" i="27"/>
  <c r="W22" i="27"/>
  <c r="S22" i="27"/>
  <c r="W32" i="27"/>
  <c r="U32" i="27"/>
  <c r="T32" i="27"/>
  <c r="Z32" i="27"/>
  <c r="V32" i="27"/>
  <c r="S32" i="27"/>
  <c r="AA32" i="27"/>
  <c r="Y32" i="27"/>
  <c r="X32" i="27"/>
  <c r="K25" i="27"/>
  <c r="X34" i="27"/>
  <c r="J33" i="27" s="1"/>
  <c r="Y34" i="27"/>
  <c r="K33" i="27" s="1"/>
  <c r="T34" i="27"/>
  <c r="F33" i="27" s="1"/>
  <c r="V34" i="27"/>
  <c r="H33" i="27" s="1"/>
  <c r="S34" i="27"/>
  <c r="E33" i="27" s="1"/>
  <c r="AA34" i="27"/>
  <c r="M33" i="27" s="1"/>
  <c r="W34" i="27"/>
  <c r="I33" i="27" s="1"/>
  <c r="U34" i="27"/>
  <c r="G33" i="27" s="1"/>
  <c r="Z34" i="27"/>
  <c r="L33" i="27" s="1"/>
  <c r="AA24" i="27"/>
  <c r="S24" i="27"/>
  <c r="Y24" i="27"/>
  <c r="U24" i="27"/>
  <c r="T24" i="27"/>
  <c r="W24" i="27"/>
  <c r="X24" i="27"/>
  <c r="V24" i="27"/>
  <c r="Z24" i="27"/>
  <c r="V17" i="27"/>
  <c r="T17" i="27"/>
  <c r="Z17" i="27"/>
  <c r="U17" i="27"/>
  <c r="AA17" i="27"/>
  <c r="Y17" i="27"/>
  <c r="X17" i="27"/>
  <c r="S17" i="27"/>
  <c r="W17" i="27"/>
  <c r="J25" i="27"/>
  <c r="E25" i="27"/>
  <c r="W31" i="27"/>
  <c r="X31" i="27"/>
  <c r="S31" i="27"/>
  <c r="E31" i="27" s="1"/>
  <c r="Z31" i="27"/>
  <c r="Y31" i="27"/>
  <c r="K31" i="27" s="1"/>
  <c r="U31" i="27"/>
  <c r="G31" i="27" s="1"/>
  <c r="T31" i="27"/>
  <c r="V31" i="27"/>
  <c r="H31" i="27" s="1"/>
  <c r="AA31" i="27"/>
  <c r="H25" i="27"/>
  <c r="I25" i="27"/>
  <c r="Z18" i="27"/>
  <c r="S18" i="27"/>
  <c r="W18" i="27"/>
  <c r="T18" i="27"/>
  <c r="X18" i="27"/>
  <c r="V18" i="27"/>
  <c r="Y18" i="27"/>
  <c r="AA18" i="27"/>
  <c r="U18" i="27"/>
  <c r="M25" i="27"/>
  <c r="G25" i="27"/>
  <c r="AA19" i="27"/>
  <c r="U19" i="27"/>
  <c r="X19" i="27"/>
  <c r="Y19" i="27"/>
  <c r="T19" i="27"/>
  <c r="V19" i="27"/>
  <c r="W19" i="27"/>
  <c r="I19" i="27" s="1"/>
  <c r="Z19" i="27"/>
  <c r="S19" i="27"/>
  <c r="U35" i="27"/>
  <c r="G35" i="27" s="1"/>
  <c r="AA35" i="27"/>
  <c r="M35" i="27" s="1"/>
  <c r="W35" i="27"/>
  <c r="V35" i="27"/>
  <c r="Y35" i="27"/>
  <c r="S35" i="27"/>
  <c r="T35" i="27"/>
  <c r="X35" i="27"/>
  <c r="Z35" i="27"/>
  <c r="L35" i="27" s="1"/>
  <c r="Y15" i="27"/>
  <c r="K13" i="27" s="1"/>
  <c r="V15" i="27"/>
  <c r="S15" i="27"/>
  <c r="U15" i="27"/>
  <c r="W15" i="27"/>
  <c r="Z15" i="27"/>
  <c r="T15" i="27"/>
  <c r="AA15" i="27"/>
  <c r="M13" i="27" s="1"/>
  <c r="X15" i="27"/>
  <c r="J13" i="27" s="1"/>
  <c r="F25" i="27"/>
  <c r="F13" i="27" l="1"/>
  <c r="D26" i="12"/>
  <c r="S10" i="26" s="1" a="1"/>
  <c r="S10" i="26" s="1"/>
  <c r="G17" i="26" s="1"/>
  <c r="F13" i="12"/>
  <c r="F16" i="12"/>
  <c r="L13" i="27"/>
  <c r="E13" i="27"/>
  <c r="F31" i="27"/>
  <c r="J22" i="27"/>
  <c r="F17" i="12"/>
  <c r="H35" i="27"/>
  <c r="I35" i="27"/>
  <c r="L31" i="27"/>
  <c r="F19" i="27"/>
  <c r="E22" i="27"/>
  <c r="G13" i="27"/>
  <c r="F35" i="27"/>
  <c r="D18" i="12"/>
  <c r="F19" i="12"/>
  <c r="L19" i="27"/>
  <c r="I13" i="27"/>
  <c r="H13" i="27"/>
  <c r="J31" i="27"/>
  <c r="H16" i="27"/>
  <c r="M22" i="27"/>
  <c r="J35" i="27"/>
  <c r="M31" i="27"/>
  <c r="E16" i="27"/>
  <c r="G22" i="27"/>
  <c r="J16" i="27"/>
  <c r="I22" i="27"/>
  <c r="E19" i="27"/>
  <c r="I31" i="27"/>
  <c r="K35" i="27"/>
  <c r="G19" i="27"/>
  <c r="M16" i="27"/>
  <c r="F15" i="12"/>
  <c r="J19" i="27"/>
  <c r="M19" i="27"/>
  <c r="E35" i="27"/>
  <c r="K16" i="27"/>
  <c r="H22" i="27"/>
  <c r="K19" i="27"/>
  <c r="F22" i="27"/>
  <c r="F16" i="27"/>
  <c r="G16" i="27"/>
  <c r="L22" i="27"/>
  <c r="H19" i="27"/>
  <c r="I16" i="27"/>
  <c r="L16" i="27"/>
  <c r="K22" i="27"/>
  <c r="S6" i="26" l="1" a="1"/>
  <c r="S6" i="26" s="1"/>
  <c r="A16" i="26"/>
  <c r="S23" i="26"/>
  <c r="S24" i="26"/>
  <c r="A17" i="26" s="1"/>
  <c r="F77" i="27"/>
  <c r="F80" i="27" s="1"/>
  <c r="E83" i="27" s="1"/>
  <c r="B15" i="30" s="1"/>
  <c r="D15" i="30" s="1"/>
  <c r="M77" i="27"/>
  <c r="M80" i="27" s="1"/>
  <c r="E92" i="27" s="1"/>
  <c r="B27" i="30" s="1"/>
  <c r="F27" i="30" s="1"/>
  <c r="S4" i="26" a="1"/>
  <c r="S4" i="26" s="1"/>
  <c r="S5" i="26" s="1" a="1"/>
  <c r="S5" i="26" s="1"/>
  <c r="L77" i="27"/>
  <c r="L80" i="27" s="1"/>
  <c r="E88" i="27" s="1"/>
  <c r="B20" i="30" s="1"/>
  <c r="F20" i="30" s="1"/>
  <c r="I77" i="27"/>
  <c r="I80" i="27" s="1"/>
  <c r="E86" i="27" s="1"/>
  <c r="B18" i="30" s="1"/>
  <c r="F18" i="30" s="1"/>
  <c r="S11" i="26" a="1"/>
  <c r="S11" i="26" s="1"/>
  <c r="S9" i="26" a="1"/>
  <c r="S9" i="26" s="1"/>
  <c r="S8" i="26" s="1" a="1"/>
  <c r="S8" i="26" s="1"/>
  <c r="S18" i="26" s="1"/>
  <c r="G77" i="27"/>
  <c r="G80" i="27" s="1"/>
  <c r="E84" i="27" s="1"/>
  <c r="B16" i="30" s="1"/>
  <c r="F16" i="30" s="1"/>
  <c r="H77" i="27"/>
  <c r="H80" i="27" s="1"/>
  <c r="E85" i="27" s="1"/>
  <c r="B17" i="30" s="1"/>
  <c r="F17" i="30" s="1"/>
  <c r="J77" i="27"/>
  <c r="J80" i="27" s="1"/>
  <c r="E87" i="27" s="1"/>
  <c r="B19" i="30" s="1"/>
  <c r="D19" i="30" s="1"/>
  <c r="K77" i="27"/>
  <c r="K80" i="27" s="1"/>
  <c r="E89" i="27" s="1"/>
  <c r="B21" i="30" s="1"/>
  <c r="E77" i="27"/>
  <c r="E80" i="27" s="1"/>
  <c r="E82" i="27" s="1"/>
  <c r="B14" i="30" s="1"/>
  <c r="D14" i="30" s="1"/>
  <c r="S13" i="26"/>
  <c r="D27" i="30"/>
  <c r="F19" i="30" l="1"/>
  <c r="A4" i="26"/>
  <c r="S22" i="26"/>
  <c r="A27" i="26"/>
  <c r="S19" i="26"/>
  <c r="S20" i="26"/>
  <c r="B12" i="26" s="1"/>
  <c r="S21" i="26"/>
  <c r="D20" i="30"/>
  <c r="A5" i="26"/>
  <c r="S17" i="26"/>
  <c r="D17" i="30"/>
  <c r="S16" i="26"/>
  <c r="A15" i="26" s="1"/>
  <c r="D16" i="30"/>
  <c r="A6" i="26"/>
  <c r="S14" i="26"/>
  <c r="S15" i="26"/>
  <c r="A28" i="26"/>
  <c r="A26" i="26"/>
  <c r="A29" i="26"/>
  <c r="D18" i="30"/>
  <c r="A25" i="26"/>
  <c r="F14" i="30"/>
  <c r="B11" i="26"/>
  <c r="A10" i="26" l="1"/>
  <c r="A13" i="26"/>
  <c r="A12" i="26"/>
  <c r="A7" i="26"/>
  <c r="A11" i="26"/>
</calcChain>
</file>

<file path=xl/sharedStrings.xml><?xml version="1.0" encoding="utf-8"?>
<sst xmlns="http://schemas.openxmlformats.org/spreadsheetml/2006/main" count="3965" uniqueCount="2395">
  <si>
    <t>VOC</t>
  </si>
  <si>
    <t>Toluene</t>
  </si>
  <si>
    <t>Perchloroethylene</t>
  </si>
  <si>
    <t>NOx</t>
  </si>
  <si>
    <t>SOx</t>
  </si>
  <si>
    <t>CO</t>
  </si>
  <si>
    <t>Material Name</t>
  </si>
  <si>
    <t>Manufacturer</t>
  </si>
  <si>
    <t>Material Purpose</t>
  </si>
  <si>
    <t>Product Density</t>
  </si>
  <si>
    <t>(lbs/gallon)</t>
  </si>
  <si>
    <t>Total VOC</t>
  </si>
  <si>
    <t>Release Factor</t>
  </si>
  <si>
    <t>Total VOC Emissions</t>
  </si>
  <si>
    <t>(gallons)</t>
  </si>
  <si>
    <t>(pounds)</t>
  </si>
  <si>
    <t>(weight %)</t>
  </si>
  <si>
    <t>(% release)</t>
  </si>
  <si>
    <t>Please list the maximum throughput of all materials used that contain Volatile Organic Compounds, and show amount of VOC emitted.</t>
  </si>
  <si>
    <r>
      <t xml:space="preserve">VOC Content           </t>
    </r>
    <r>
      <rPr>
        <i/>
        <sz val="10"/>
        <color theme="1"/>
        <rFont val="Arial"/>
        <family val="2"/>
      </rPr>
      <t>(select one)</t>
    </r>
  </si>
  <si>
    <t>HAP Name</t>
  </si>
  <si>
    <t>Total HAP Emissions</t>
  </si>
  <si>
    <t>Individual HAP Throughput</t>
  </si>
  <si>
    <t>Process Rate Units</t>
  </si>
  <si>
    <t>LEAD</t>
  </si>
  <si>
    <t>Total HAP</t>
  </si>
  <si>
    <r>
      <t>PM</t>
    </r>
    <r>
      <rPr>
        <b/>
        <vertAlign val="subscript"/>
        <sz val="11"/>
        <color theme="1"/>
        <rFont val="Arial"/>
        <family val="2"/>
      </rPr>
      <t>10</t>
    </r>
  </si>
  <si>
    <t>Diethanolamine</t>
  </si>
  <si>
    <t>Insignificant Activity Type</t>
  </si>
  <si>
    <t>Description of Insignificant Activity</t>
  </si>
  <si>
    <r>
      <t>PM</t>
    </r>
    <r>
      <rPr>
        <b/>
        <vertAlign val="subscript"/>
        <sz val="11"/>
        <color theme="1"/>
        <rFont val="Arial"/>
        <family val="2"/>
      </rPr>
      <t>2.5</t>
    </r>
  </si>
  <si>
    <t>Perfluorocarbons (PFCs)</t>
  </si>
  <si>
    <t>Hydrofluorocarbons (HFCs)</t>
  </si>
  <si>
    <t>GHG Pollutant Name</t>
  </si>
  <si>
    <t>Chemical Formula</t>
  </si>
  <si>
    <t>Aliases</t>
  </si>
  <si>
    <t>R-23, Trifluoromethane, or Fluoroform</t>
  </si>
  <si>
    <t>R-32, or Difluoromethane</t>
  </si>
  <si>
    <t>R-41, or Fluoromethane</t>
  </si>
  <si>
    <t>HFC-23</t>
  </si>
  <si>
    <t>HFC-32</t>
  </si>
  <si>
    <t>HFC-41</t>
  </si>
  <si>
    <t>HFC-43-10mee</t>
  </si>
  <si>
    <t>HFC-125</t>
  </si>
  <si>
    <t>HFC-134</t>
  </si>
  <si>
    <t>1,1,2,2-Tetrafluoroethane</t>
  </si>
  <si>
    <t>HFC-134a</t>
  </si>
  <si>
    <t>HFC-152a</t>
  </si>
  <si>
    <t>HFC-143a</t>
  </si>
  <si>
    <t>HFC-227ea</t>
  </si>
  <si>
    <t>HFC-236fa</t>
  </si>
  <si>
    <t>1,1,1,2,2,3,4,5,5,5-Decafluoropentane, and Decafluoropentane</t>
  </si>
  <si>
    <t>1,1,1,2,2-Pentafluoroethane, and Pentafluoroethane</t>
  </si>
  <si>
    <t>R-134a, Genetron 134a, Suva 134a, and 1,1,1,2-Tetrafluoroethane</t>
  </si>
  <si>
    <t>R-152a, Freon 152a, 1,1-Difluoroethane, and Difluoroethane</t>
  </si>
  <si>
    <t>R-143a, 1,1,1-Trifluoroethane, and Trifluoroethane</t>
  </si>
  <si>
    <t>1,1,1,2,3,3,3-Heptafluoropropane, and Heptafluoropropane</t>
  </si>
  <si>
    <t>HFC-143</t>
  </si>
  <si>
    <t>1,1,2-Trifluoroethane and 112TFA</t>
  </si>
  <si>
    <t>FE-36, 1,1,1,3,3,3-Hexafluoropropane, and Hexafluoropropane</t>
  </si>
  <si>
    <t>HFC-245ca</t>
  </si>
  <si>
    <t>1,1,2,2,3-Pentafluoropropane</t>
  </si>
  <si>
    <t>Carbon Dioxide</t>
  </si>
  <si>
    <t>Methane</t>
  </si>
  <si>
    <t>Nitrous Oxide</t>
  </si>
  <si>
    <t>Sulfur Hexafluoride</t>
  </si>
  <si>
    <t>Greenhouse Gas (GHG) and their Global Warming Potentials (GWP)</t>
  </si>
  <si>
    <t>Please list the maximum throughput of all materials used that contain Hazardous Air Pollutants (HAP) and show amount of HAP emitted.</t>
  </si>
  <si>
    <t>Material Throughput</t>
  </si>
  <si>
    <t>CAS #</t>
  </si>
  <si>
    <t>Pollutant Name</t>
  </si>
  <si>
    <t>VOC (Yes or No)</t>
  </si>
  <si>
    <t>Glycol ethers</t>
  </si>
  <si>
    <t>No</t>
  </si>
  <si>
    <t>Formaldehyde</t>
  </si>
  <si>
    <t>Yes</t>
  </si>
  <si>
    <t>2,4-Dinitrophenol</t>
  </si>
  <si>
    <t>Ethyl carbamate</t>
  </si>
  <si>
    <t>2-Acetylaminofluorene</t>
  </si>
  <si>
    <t>Carbon tetrachloride</t>
  </si>
  <si>
    <t>Parathion</t>
  </si>
  <si>
    <t>Cyanide</t>
  </si>
  <si>
    <t>1,1-Dimethyl hydrazine</t>
  </si>
  <si>
    <t>beta-Propiolactone</t>
  </si>
  <si>
    <t>Chlordane</t>
  </si>
  <si>
    <t>Lindane (all isomers)</t>
  </si>
  <si>
    <t>N-Nitrosomorpholine</t>
  </si>
  <si>
    <t>Dimethyl aminoazobenzene</t>
  </si>
  <si>
    <t>Methyl hydrazine</t>
  </si>
  <si>
    <t>Acetamide</t>
  </si>
  <si>
    <t>Aniline</t>
  </si>
  <si>
    <t>Dichlorvos</t>
  </si>
  <si>
    <t>N-Nitrosodimethylamine</t>
  </si>
  <si>
    <t>Carbaryl</t>
  </si>
  <si>
    <t>Diethyl sulfate</t>
  </si>
  <si>
    <t>Methanol</t>
  </si>
  <si>
    <t>Chloroform</t>
  </si>
  <si>
    <t>Hexachloroethane</t>
  </si>
  <si>
    <t>Dimethyl formamide</t>
  </si>
  <si>
    <t>Benzene</t>
  </si>
  <si>
    <t>1,1,1-Trichloroethane</t>
  </si>
  <si>
    <t>Methoxychlor</t>
  </si>
  <si>
    <t>Methyl bromide</t>
  </si>
  <si>
    <t>Chloromethane</t>
  </si>
  <si>
    <t>Methyl iodide</t>
  </si>
  <si>
    <t>Ethyl chloride</t>
  </si>
  <si>
    <t>Vinyl chloride</t>
  </si>
  <si>
    <t>Acetonitrile</t>
  </si>
  <si>
    <t>Acetaldehyde</t>
  </si>
  <si>
    <t>Methylene chloride</t>
  </si>
  <si>
    <t>Carbon disulfide</t>
  </si>
  <si>
    <t>Ethylene oxide</t>
  </si>
  <si>
    <t>Bromoform</t>
  </si>
  <si>
    <t>1,1-Dichloroethane</t>
  </si>
  <si>
    <t>1,1-Dichloroethylene</t>
  </si>
  <si>
    <t>Phosgene</t>
  </si>
  <si>
    <t>1,2-Propylenimine</t>
  </si>
  <si>
    <t>Propylene oxide</t>
  </si>
  <si>
    <t>Heptachlor</t>
  </si>
  <si>
    <t>Hexachlorocyclopentadiene</t>
  </si>
  <si>
    <t>Dimethyl sulfate</t>
  </si>
  <si>
    <t>Isophorone</t>
  </si>
  <si>
    <t>1,2-Dichloropropane</t>
  </si>
  <si>
    <t>1,1,2-Trichloroethane</t>
  </si>
  <si>
    <t>Trichloroethylene</t>
  </si>
  <si>
    <t>Acrylamide</t>
  </si>
  <si>
    <t>Acrylic acid</t>
  </si>
  <si>
    <t>Chloroacetic acid</t>
  </si>
  <si>
    <t>1,1,2,2-Tetrachloroethane</t>
  </si>
  <si>
    <t>Dimethyl carbamoyl chloride</t>
  </si>
  <si>
    <t>2-Nitropropane</t>
  </si>
  <si>
    <t>Methyl methacrylate</t>
  </si>
  <si>
    <t>Pentachloronitrobenzene</t>
  </si>
  <si>
    <t>Dibutylphthalate</t>
  </si>
  <si>
    <t>Phthalic anhydride</t>
  </si>
  <si>
    <t>Hexachlorobutadiene</t>
  </si>
  <si>
    <t>Pentachlorophenol</t>
  </si>
  <si>
    <t>2,4,6-Trichlorophenol</t>
  </si>
  <si>
    <t>o-Anisidine</t>
  </si>
  <si>
    <t>Naphthalene</t>
  </si>
  <si>
    <t>Quinoline</t>
  </si>
  <si>
    <t>3,3-Dichlorobenzidene</t>
  </si>
  <si>
    <t>Biphenyl</t>
  </si>
  <si>
    <t>4-Aminobiphenyl</t>
  </si>
  <si>
    <t>Benzidine</t>
  </si>
  <si>
    <t>4-Nitrobiphenyl</t>
  </si>
  <si>
    <t>2,4-D (salts and esters)</t>
  </si>
  <si>
    <t>o-Xylenes</t>
  </si>
  <si>
    <t>o-Cresol</t>
  </si>
  <si>
    <t>o-Toluidine</t>
  </si>
  <si>
    <t>2,4-Toluene diamine</t>
  </si>
  <si>
    <t>2,4,5-Trichlorophenol</t>
  </si>
  <si>
    <t>Styrene oxide</t>
  </si>
  <si>
    <t>1,2-Dibromo-3-chloropropane</t>
  </si>
  <si>
    <t>Ethylene thiourea</t>
  </si>
  <si>
    <t>Benzotrichloride</t>
  </si>
  <si>
    <t>Cumene</t>
  </si>
  <si>
    <t>Acetophenone</t>
  </si>
  <si>
    <t>Nitrobenzene</t>
  </si>
  <si>
    <t>4-Nitrophenol</t>
  </si>
  <si>
    <t>Ethyl benzene</t>
  </si>
  <si>
    <t>Styrene</t>
  </si>
  <si>
    <t>Benzyl chloride</t>
  </si>
  <si>
    <t>4,4-Methylene bis(2-chloroaniline)</t>
  </si>
  <si>
    <t>Methylene diphenyl diisocyanate</t>
  </si>
  <si>
    <t>4,4'-Methylenedianiline</t>
  </si>
  <si>
    <t>p-Xylenes</t>
  </si>
  <si>
    <t>p-Cresol</t>
  </si>
  <si>
    <t>1,4-Dichlorobenzene(p)</t>
  </si>
  <si>
    <t>p-Phenylenediamine</t>
  </si>
  <si>
    <t>Quinone</t>
  </si>
  <si>
    <t>1,2-Epoxybutane</t>
  </si>
  <si>
    <t>Epichlorohydrin</t>
  </si>
  <si>
    <t>Ethylene dibromide</t>
  </si>
  <si>
    <t>1,3-Butadiene</t>
  </si>
  <si>
    <t>Acrolein</t>
  </si>
  <si>
    <t>Allyl chloride</t>
  </si>
  <si>
    <t>Ethylene dichloride</t>
  </si>
  <si>
    <t>Acrylonitrile</t>
  </si>
  <si>
    <t>Ethylene glycol</t>
  </si>
  <si>
    <t>Chloromethyl methyl ether</t>
  </si>
  <si>
    <t>Vinyl acetate</t>
  </si>
  <si>
    <t>Methyl isobutyl ketone</t>
  </si>
  <si>
    <t>Maleic anhydride</t>
  </si>
  <si>
    <t>m-Xylenes</t>
  </si>
  <si>
    <t>m-Cresol</t>
  </si>
  <si>
    <t>Chlorobenzene</t>
  </si>
  <si>
    <t>Phenol</t>
  </si>
  <si>
    <t>Hexane</t>
  </si>
  <si>
    <t>Dichloroethyl ether</t>
  </si>
  <si>
    <t>Propoxur</t>
  </si>
  <si>
    <t>Diethylhexylphthalate</t>
  </si>
  <si>
    <t>Hexachlorobenzene</t>
  </si>
  <si>
    <t>3,3-Dimethoxybenzidine</t>
  </si>
  <si>
    <t>3,3'-Dimethyl benzidine</t>
  </si>
  <si>
    <t>Catechol</t>
  </si>
  <si>
    <t>1,2,4-Trichlorobenzene</t>
  </si>
  <si>
    <t>2,4-Dinitrotoluene</t>
  </si>
  <si>
    <t>Triethylamine</t>
  </si>
  <si>
    <t>N,N-Dimethylaniline</t>
  </si>
  <si>
    <t>1,2-Diphenylhydrazine</t>
  </si>
  <si>
    <t>Hydroquinone</t>
  </si>
  <si>
    <t>Propionaldehyde</t>
  </si>
  <si>
    <t>1,4-Dioxane</t>
  </si>
  <si>
    <t>Chloroprene</t>
  </si>
  <si>
    <t>Dimethyl phthalate</t>
  </si>
  <si>
    <t>Dibenzofurans</t>
  </si>
  <si>
    <t>Captan</t>
  </si>
  <si>
    <t>Chloramben</t>
  </si>
  <si>
    <t>Ethyl acrylate</t>
  </si>
  <si>
    <t>Ethylene imine</t>
  </si>
  <si>
    <t>Calcium cyanamide</t>
  </si>
  <si>
    <t>Hydrazine</t>
  </si>
  <si>
    <t>Diazomethane</t>
  </si>
  <si>
    <t>Carbonyl sulfide</t>
  </si>
  <si>
    <t>Chlorobenzilate</t>
  </si>
  <si>
    <t>2-Chloroacetophenone</t>
  </si>
  <si>
    <t>4,6-Dinitro-o-cresol, and salts</t>
  </si>
  <si>
    <t>2,2,4-Trimethylpentane</t>
  </si>
  <si>
    <t>1,3-Dichloropropene</t>
  </si>
  <si>
    <t>Bis(chloromethyl)ether</t>
  </si>
  <si>
    <t>2,4-Toluene diisocyanate</t>
  </si>
  <si>
    <t>Vinyl bromide</t>
  </si>
  <si>
    <t>Methyl isocyanate</t>
  </si>
  <si>
    <t>Hexamethylphosphoramide</t>
  </si>
  <si>
    <t>N-Nitroso-N-methylurea</t>
  </si>
  <si>
    <t>Hexamethylene-1,6-diisocyanate</t>
  </si>
  <si>
    <t>1,3-Propane sultone</t>
  </si>
  <si>
    <t>Cresols/Cresylic acid</t>
  </si>
  <si>
    <t>Xylenes (isomers and mixture)</t>
  </si>
  <si>
    <t>Asbestos</t>
  </si>
  <si>
    <t>Polychlorinated biphenyls</t>
  </si>
  <si>
    <t>Trifluralin</t>
  </si>
  <si>
    <t>Methyl tert butyl ether</t>
  </si>
  <si>
    <t>2,3,7,8-Tetrachlorodibenzo-p-dioxin</t>
  </si>
  <si>
    <t>DDE</t>
  </si>
  <si>
    <t>Lead</t>
  </si>
  <si>
    <t>Manganese</t>
  </si>
  <si>
    <t>Mercury</t>
  </si>
  <si>
    <t>Nickel</t>
  </si>
  <si>
    <t>Antimony</t>
  </si>
  <si>
    <t>Arsenic</t>
  </si>
  <si>
    <t>Beryllium</t>
  </si>
  <si>
    <t>Cadmium</t>
  </si>
  <si>
    <t>Chromium</t>
  </si>
  <si>
    <t>Cobalt</t>
  </si>
  <si>
    <t>Titanium tetrachloride</t>
  </si>
  <si>
    <t>Hydrochloric acid</t>
  </si>
  <si>
    <t>Hydrogen fluoride</t>
  </si>
  <si>
    <t>Phosphorus</t>
  </si>
  <si>
    <t>Selenium</t>
  </si>
  <si>
    <t>Chlorine</t>
  </si>
  <si>
    <t>Phosphine</t>
  </si>
  <si>
    <t>Toxaphene</t>
  </si>
  <si>
    <t>For a complete list of EPA regulated Hazardous Air Pollutants, including CAS Numbers, click here.</t>
  </si>
  <si>
    <t>Hazardous Air Pollutants and CAS Numbers</t>
  </si>
  <si>
    <t>Emissions</t>
  </si>
  <si>
    <t>Meet or Exceed?</t>
  </si>
  <si>
    <r>
      <t>PM</t>
    </r>
    <r>
      <rPr>
        <vertAlign val="subscript"/>
        <sz val="12"/>
        <color theme="1"/>
        <rFont val="Arial"/>
        <family val="2"/>
      </rPr>
      <t>10</t>
    </r>
  </si>
  <si>
    <r>
      <t>PM</t>
    </r>
    <r>
      <rPr>
        <vertAlign val="subscript"/>
        <sz val="12"/>
        <color theme="1"/>
        <rFont val="Arial"/>
        <family val="2"/>
      </rPr>
      <t>2.5</t>
    </r>
  </si>
  <si>
    <t>GHGs</t>
  </si>
  <si>
    <t>(tons per year)</t>
  </si>
  <si>
    <t>Greatest Single HAP</t>
  </si>
  <si>
    <t>Total Combined HAP</t>
  </si>
  <si>
    <t xml:space="preserve">Emission Unit # </t>
  </si>
  <si>
    <t>Point #</t>
  </si>
  <si>
    <t>Segment #</t>
  </si>
  <si>
    <t>Emission Point Description</t>
  </si>
  <si>
    <t>Emission Segment Description</t>
  </si>
  <si>
    <t>Source Classification          Code # (SCC)</t>
  </si>
  <si>
    <t>Emission       Unit #</t>
  </si>
  <si>
    <t>SCC Code</t>
  </si>
  <si>
    <t>Latitude</t>
  </si>
  <si>
    <t>Longitude</t>
  </si>
  <si>
    <t>Elevation</t>
  </si>
  <si>
    <t>Stack Height</t>
  </si>
  <si>
    <t>Stack Inside Diameter</t>
  </si>
  <si>
    <t>Exhaust Exit Velocity</t>
  </si>
  <si>
    <t>Exhaust Flow Rate</t>
  </si>
  <si>
    <t>(feet a.s.l.)</t>
  </si>
  <si>
    <t>(feet)</t>
  </si>
  <si>
    <r>
      <rPr>
        <sz val="11"/>
        <color theme="1"/>
        <rFont val="Arial"/>
        <family val="2"/>
      </rPr>
      <t>(</t>
    </r>
    <r>
      <rPr>
        <vertAlign val="superscript"/>
        <sz val="11"/>
        <color theme="1"/>
        <rFont val="Arial"/>
        <family val="2"/>
      </rPr>
      <t>o</t>
    </r>
    <r>
      <rPr>
        <sz val="11"/>
        <color theme="1"/>
        <rFont val="Arial"/>
        <family val="2"/>
      </rPr>
      <t>F)</t>
    </r>
  </si>
  <si>
    <t>(feet/sec)</t>
  </si>
  <si>
    <t>(cu. feet/sec)</t>
  </si>
  <si>
    <t>Vertical</t>
  </si>
  <si>
    <t>Horizontal</t>
  </si>
  <si>
    <t>Raincap Present?</t>
  </si>
  <si>
    <t>(decimal deg.)</t>
  </si>
  <si>
    <t>Exhaust Temp.</t>
  </si>
  <si>
    <t>Breweries</t>
  </si>
  <si>
    <t>Marinas</t>
  </si>
  <si>
    <t>Caterers</t>
  </si>
  <si>
    <t>Facility Name:</t>
  </si>
  <si>
    <t>LLCHD Facility ID #:</t>
  </si>
  <si>
    <t>Facility Physical Address:</t>
  </si>
  <si>
    <t>Facility City:</t>
  </si>
  <si>
    <t>Facility State:</t>
  </si>
  <si>
    <t>Facility ZIP:</t>
  </si>
  <si>
    <t>Facility NAICS Code(s):</t>
  </si>
  <si>
    <t>Soybean Farming</t>
  </si>
  <si>
    <t xml:space="preserve">Oilseed (except Soybean) Farming </t>
  </si>
  <si>
    <t xml:space="preserve">Dry Pea and Bean Farming </t>
  </si>
  <si>
    <t>Wheat Farming</t>
  </si>
  <si>
    <t xml:space="preserve">Corn Farming </t>
  </si>
  <si>
    <t>Rice Farming</t>
  </si>
  <si>
    <t xml:space="preserve">Oilseed and Grain Combination Farming </t>
  </si>
  <si>
    <t xml:space="preserve">All Other Grain Farming </t>
  </si>
  <si>
    <t xml:space="preserve">Potato Farming </t>
  </si>
  <si>
    <t xml:space="preserve">Other Vegetable (except Potato) and Melon Farming </t>
  </si>
  <si>
    <t>Orange Groves</t>
  </si>
  <si>
    <t xml:space="preserve">Citrus (except Orange) Groves </t>
  </si>
  <si>
    <t xml:space="preserve">Apple Orchards </t>
  </si>
  <si>
    <t xml:space="preserve">Grape Vineyards </t>
  </si>
  <si>
    <t xml:space="preserve">Strawberry Farming </t>
  </si>
  <si>
    <t xml:space="preserve">Berry (except Strawberry) Farming </t>
  </si>
  <si>
    <t xml:space="preserve">Tree Nut Farming </t>
  </si>
  <si>
    <t xml:space="preserve">Fruit and Tree Nut Combination Farming </t>
  </si>
  <si>
    <t xml:space="preserve">Other Noncitrus Fruit Farming </t>
  </si>
  <si>
    <t xml:space="preserve">Mushroom Production </t>
  </si>
  <si>
    <t xml:space="preserve">Other Food Crops Grown Under Cover </t>
  </si>
  <si>
    <t xml:space="preserve">Nursery and Tree Production </t>
  </si>
  <si>
    <t xml:space="preserve">Floriculture Production </t>
  </si>
  <si>
    <t>Tobacco Farming</t>
  </si>
  <si>
    <t>Cotton Farming</t>
  </si>
  <si>
    <t>Sugarcane Farming</t>
  </si>
  <si>
    <t xml:space="preserve">Hay Farming </t>
  </si>
  <si>
    <t xml:space="preserve">Sugar Beet Farming </t>
  </si>
  <si>
    <t xml:space="preserve">Peanut Farming </t>
  </si>
  <si>
    <t xml:space="preserve">All Other Miscellaneous Crop Farming </t>
  </si>
  <si>
    <t xml:space="preserve">Beef Cattle Ranching and Farming </t>
  </si>
  <si>
    <t xml:space="preserve">Cattle Feedlots </t>
  </si>
  <si>
    <t>Dairy Cattle and Milk Production</t>
  </si>
  <si>
    <t xml:space="preserve">Dual-Purpose Cattle Ranching and Farming </t>
  </si>
  <si>
    <t xml:space="preserve">Hog and Pig Farming </t>
  </si>
  <si>
    <t xml:space="preserve">Chicken Egg Production </t>
  </si>
  <si>
    <t>Turkey Production</t>
  </si>
  <si>
    <t>Poultry Hatcheries</t>
  </si>
  <si>
    <t xml:space="preserve">Other Poultry Production </t>
  </si>
  <si>
    <t>Sheep Farming</t>
  </si>
  <si>
    <t>Goat Farming</t>
  </si>
  <si>
    <t xml:space="preserve">Finfish Farming and Fish Hatcheries </t>
  </si>
  <si>
    <t xml:space="preserve">Shellfish Farming </t>
  </si>
  <si>
    <t xml:space="preserve">Other Aquaculture </t>
  </si>
  <si>
    <t>Apiculture</t>
  </si>
  <si>
    <t>Horses and Other Equine Production</t>
  </si>
  <si>
    <t>Fur-Bearing Animal and Rabbit Production</t>
  </si>
  <si>
    <t xml:space="preserve">All Other Animal Production </t>
  </si>
  <si>
    <t>Timber Tract Operations</t>
  </si>
  <si>
    <t xml:space="preserve">Forest Nurseries and Gathering of Forest Products </t>
  </si>
  <si>
    <t xml:space="preserve">Logging </t>
  </si>
  <si>
    <t xml:space="preserve">Finfish Fishing </t>
  </si>
  <si>
    <t xml:space="preserve">Shellfish Fishing </t>
  </si>
  <si>
    <t xml:space="preserve">Other Marine Fishing </t>
  </si>
  <si>
    <t>Hunting and Trapping</t>
  </si>
  <si>
    <t xml:space="preserve">Cotton Ginning </t>
  </si>
  <si>
    <t xml:space="preserve">Soil Preparation, Planting, and Cultivating </t>
  </si>
  <si>
    <t xml:space="preserve">Crop Harvesting, Primarily by Machine </t>
  </si>
  <si>
    <t xml:space="preserve">Postharvest Crop Activities (except Cotton Ginning) </t>
  </si>
  <si>
    <t xml:space="preserve">Farm Labor Contractors and Crew Leaders </t>
  </si>
  <si>
    <t xml:space="preserve">Farm Management Services </t>
  </si>
  <si>
    <t>Support Activities for Animal Production</t>
  </si>
  <si>
    <t>Support Activities for Forestry</t>
  </si>
  <si>
    <t xml:space="preserve">Bituminous Coal and Lignite Surface Mining </t>
  </si>
  <si>
    <t xml:space="preserve">Bituminous Coal Underground Mining </t>
  </si>
  <si>
    <t xml:space="preserve">Anthracite Mining </t>
  </si>
  <si>
    <t>Iron Ore Mining</t>
  </si>
  <si>
    <t xml:space="preserve">Gold Ore Mining </t>
  </si>
  <si>
    <t xml:space="preserve">Silver Ore Mining </t>
  </si>
  <si>
    <t xml:space="preserve">Uranium-Radium-Vanadium Ore Mining </t>
  </si>
  <si>
    <t xml:space="preserve">All Other Metal Ore Mining </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</si>
  <si>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</si>
  <si>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</si>
  <si>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</si>
  <si>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</si>
  <si>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</si>
  <si>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</si>
  <si>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and Ball Clay Mining </t>
  </si>
  <si>
    <t xml:space="preserve">Clay and Ceramic and Refractory Minerals Mining </t>
  </si>
  <si>
    <t xml:space="preserve">Potash, Soda, and Borate Mineral Mining </t>
  </si>
  <si>
    <t xml:space="preserve">Phosphate Rock Mining </t>
  </si>
  <si>
    <t xml:space="preserve">Other Chemical and Fertilizer Mineral Mining </t>
  </si>
  <si>
    <t xml:space="preserve">All Other Nonmetallic Mineral Mining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</si>
  <si>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</si>
  <si>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</si>
  <si>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</si>
  <si>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</si>
  <si>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</si>
  <si>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</si>
  <si>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</si>
  <si>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</si>
  <si>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</si>
  <si>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</si>
  <si>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</si>
  <si>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</si>
  <si>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</si>
  <si>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</si>
  <si>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</si>
  <si>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</si>
  <si>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</si>
  <si>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</si>
  <si>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</si>
  <si>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</si>
  <si>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</si>
  <si>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</si>
  <si>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</si>
  <si>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</si>
  <si>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</si>
  <si>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</si>
  <si>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</si>
  <si>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</si>
  <si>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</si>
  <si>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</si>
  <si>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</si>
  <si>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</si>
  <si>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</si>
  <si>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</si>
  <si>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</si>
  <si>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</si>
  <si>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</si>
  <si>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</si>
  <si>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</si>
  <si>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</si>
  <si>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</si>
  <si>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</si>
  <si>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</si>
  <si>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</si>
  <si>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</si>
  <si>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</si>
  <si>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</si>
  <si>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</si>
  <si>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</si>
  <si>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</si>
  <si>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</si>
  <si>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</si>
  <si>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</si>
  <si>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</si>
  <si>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</si>
  <si>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</si>
  <si>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</si>
  <si>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</si>
  <si>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</si>
  <si>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</si>
  <si>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</si>
  <si>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</si>
  <si>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</si>
  <si>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</si>
  <si>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</si>
  <si>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</si>
  <si>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</si>
  <si>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</si>
  <si>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</si>
  <si>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</si>
  <si>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</si>
  <si>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</si>
  <si>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</si>
  <si>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</si>
  <si>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</si>
  <si>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</si>
  <si>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</si>
  <si>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</si>
  <si>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</si>
  <si>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</si>
  <si>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</si>
  <si>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</si>
  <si>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</si>
  <si>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</si>
  <si>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</si>
  <si>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</si>
  <si>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</si>
  <si>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</si>
  <si>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</si>
  <si>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</si>
  <si>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</si>
  <si>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</si>
  <si>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</si>
  <si>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</si>
  <si>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</si>
  <si>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</si>
  <si>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</si>
  <si>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</si>
  <si>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</si>
  <si>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</si>
  <si>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</si>
  <si>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</si>
  <si>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</si>
  <si>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</si>
  <si>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</si>
  <si>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</si>
  <si>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</si>
  <si>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</si>
  <si>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</si>
  <si>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</si>
  <si>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Hosiery and Sock Mills</t>
  </si>
  <si>
    <t xml:space="preserve">Other Apparel Knitting Mills </t>
  </si>
  <si>
    <t xml:space="preserve">Cut and Sew Apparel Contractors </t>
  </si>
  <si>
    <t xml:space="preserve">Men’s and Boys’ Cut and Sew Apparel Manufacturing </t>
  </si>
  <si>
    <t xml:space="preserve">Women’s, Girls’, and Infants’ Cut and Sew Apparel Manufacturing </t>
  </si>
  <si>
    <t xml:space="preserve">Other Cut and Sew Apparel Manufacturing </t>
  </si>
  <si>
    <t xml:space="preserve">Apparel Accessories and Other Apparel Manufacturing </t>
  </si>
  <si>
    <t>Leather and Hide Tanning and Finishing</t>
  </si>
  <si>
    <t xml:space="preserve">Footwear Manufacturing </t>
  </si>
  <si>
    <t xml:space="preserve">Women's Handbag and Purse Manufacturing </t>
  </si>
  <si>
    <t xml:space="preserve">All Other Leather Good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</si>
  <si>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</si>
  <si>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</si>
  <si>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</si>
  <si>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</si>
  <si>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(except Truss) Manufacturing </t>
  </si>
  <si>
    <t xml:space="preserve">Truss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</si>
  <si>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</si>
  <si>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</si>
  <si>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</si>
  <si>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</si>
  <si>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</si>
  <si>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</si>
  <si>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</si>
  <si>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</si>
  <si>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</si>
  <si>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(except Newsprint) Mills </t>
  </si>
  <si>
    <t xml:space="preserve">Newsprint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</si>
  <si>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</si>
  <si>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</si>
  <si>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</si>
  <si>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</si>
  <si>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</si>
  <si>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</si>
  <si>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</si>
  <si>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</si>
  <si>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</si>
  <si>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</si>
  <si>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</si>
  <si>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</si>
  <si>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</si>
  <si>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</si>
  <si>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</si>
  <si>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</si>
  <si>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</si>
  <si>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</si>
  <si>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</si>
  <si>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</si>
  <si>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</si>
  <si>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</si>
  <si>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</si>
  <si>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</si>
  <si>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</si>
  <si>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</si>
  <si>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</si>
  <si>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</si>
  <si>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</si>
  <si>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</si>
  <si>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</si>
  <si>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</si>
  <si>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</si>
  <si>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</si>
  <si>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</si>
  <si>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</si>
  <si>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</si>
  <si>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</si>
  <si>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</si>
  <si>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</si>
  <si>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</si>
  <si>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</si>
  <si>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</si>
  <si>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</si>
  <si>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and Chemical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</si>
  <si>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</si>
  <si>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</si>
  <si>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</si>
  <si>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</si>
  <si>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</si>
  <si>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</si>
  <si>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</si>
  <si>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</si>
  <si>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</si>
  <si>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</si>
  <si>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</si>
  <si>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</si>
  <si>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</si>
  <si>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</si>
  <si>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</si>
  <si>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</si>
  <si>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</si>
  <si>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</si>
  <si>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</si>
  <si>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</si>
  <si>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</si>
  <si>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</si>
  <si>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</si>
  <si>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</si>
  <si>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</si>
  <si>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</si>
  <si>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</si>
  <si>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</si>
  <si>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</si>
  <si>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</si>
  <si>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</si>
  <si>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</si>
  <si>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</si>
  <si>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</si>
  <si>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</si>
  <si>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</si>
  <si>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</si>
  <si>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</si>
  <si>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</si>
  <si>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</si>
  <si>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</si>
  <si>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</si>
  <si>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</si>
  <si>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</si>
  <si>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</si>
  <si>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</si>
  <si>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</si>
  <si>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</si>
  <si>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</si>
  <si>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</si>
  <si>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</si>
  <si>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</si>
  <si>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</si>
  <si>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</si>
  <si>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</si>
  <si>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</si>
  <si>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</si>
  <si>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</si>
  <si>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</si>
  <si>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</si>
  <si>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</si>
  <si>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</si>
  <si>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</si>
  <si>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</si>
  <si>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</si>
  <si>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</si>
  <si>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</si>
  <si>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</si>
  <si>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</si>
  <si>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</si>
  <si>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</si>
  <si>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</si>
  <si>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</si>
  <si>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</si>
  <si>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</si>
  <si>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</si>
  <si>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</si>
  <si>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</si>
  <si>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</si>
  <si>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</si>
  <si>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</si>
  <si>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</si>
  <si>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</si>
  <si>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</si>
  <si>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</si>
  <si>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</si>
  <si>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</si>
  <si>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</si>
  <si>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</si>
  <si>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</si>
  <si>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</si>
  <si>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</si>
  <si>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</si>
  <si>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</si>
  <si>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</si>
  <si>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</si>
  <si>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</si>
  <si>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Printing Machinery and Equipment Manufacturing </t>
  </si>
  <si>
    <t xml:space="preserve">Other Industrial Machinery Manufacturing </t>
  </si>
  <si>
    <t xml:space="preserve">Optical Instrument and Lens Manufacturing </t>
  </si>
  <si>
    <t xml:space="preserve">Photographic and Photocopying Equipment Manufacturing </t>
  </si>
  <si>
    <t xml:space="preserve">Other 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</si>
  <si>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</si>
  <si>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</si>
  <si>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</si>
  <si>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</si>
  <si>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</si>
  <si>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</si>
  <si>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</si>
  <si>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</si>
  <si>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</si>
  <si>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</si>
  <si>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</si>
  <si>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</si>
  <si>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Air and Gas Compressor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</si>
  <si>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</si>
  <si>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</si>
  <si>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</si>
  <si>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</si>
  <si>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</si>
  <si>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</si>
  <si>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</si>
  <si>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</si>
  <si>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</si>
  <si>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</si>
  <si>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Scale and Balance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</si>
  <si>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</si>
  <si>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</si>
  <si>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</si>
  <si>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</si>
  <si>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</si>
  <si>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</si>
  <si>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</si>
  <si>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</si>
  <si>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</si>
  <si>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</si>
  <si>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</si>
  <si>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</si>
  <si>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</si>
  <si>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</si>
  <si>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</si>
  <si>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</si>
  <si>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</si>
  <si>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</si>
  <si>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</si>
  <si>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</si>
  <si>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</si>
  <si>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</si>
  <si>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</si>
  <si>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Blank Magnetic and Optical Recording Media Manufacturing </t>
  </si>
  <si>
    <t xml:space="preserve">Software and Other Prerecorded Compact Disc, Tape, and Record Reproducing </t>
  </si>
  <si>
    <t>Electric Lamp Bulb and Part Manufacturing</t>
  </si>
  <si>
    <t xml:space="preserve">Residential Electric Lighting Fixture Manufacturing </t>
  </si>
  <si>
    <t xml:space="preserve">Commercial, Industrial, and Institutional Electric Lighting Fixture Manufacturing </t>
  </si>
  <si>
    <t xml:space="preserve">Other Lighting Equipment Manufacturing </t>
  </si>
  <si>
    <t>Small Electrical Appliance Manufacturing</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</si>
  <si>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</si>
  <si>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</si>
  <si>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</si>
  <si>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</si>
  <si>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Storage Battery Manufacturing </t>
  </si>
  <si>
    <t xml:space="preserve">Primary 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</si>
  <si>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</si>
  <si>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</si>
  <si>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</si>
  <si>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</si>
  <si>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</si>
  <si>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</si>
  <si>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Manufacturing </t>
  </si>
  <si>
    <t xml:space="preserve">Light Truck and Utility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</si>
  <si>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</si>
  <si>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</si>
  <si>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</si>
  <si>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</si>
  <si>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</si>
  <si>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</si>
  <si>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</si>
  <si>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</si>
  <si>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</si>
  <si>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</si>
  <si>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</si>
  <si>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</si>
  <si>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</si>
  <si>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</si>
  <si>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</si>
  <si>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</si>
  <si>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</si>
  <si>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</si>
  <si>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</si>
  <si>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</si>
  <si>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</si>
  <si>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</si>
  <si>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</si>
  <si>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</si>
  <si>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</si>
  <si>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</si>
  <si>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</si>
  <si>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</si>
  <si>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Metal Household Furniture Manufacturing </t>
  </si>
  <si>
    <t xml:space="preserve">Household Furniture (except Wood and Metal)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</si>
  <si>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</si>
  <si>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</si>
  <si>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</si>
  <si>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</si>
  <si>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</si>
  <si>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</si>
  <si>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</si>
  <si>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</si>
  <si>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</si>
  <si>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</si>
  <si>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</si>
  <si>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</si>
  <si>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</si>
  <si>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</si>
  <si>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</si>
  <si>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</si>
  <si>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</si>
  <si>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</si>
  <si>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</si>
  <si>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</si>
  <si>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</si>
  <si>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</si>
  <si>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</si>
  <si>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</si>
  <si>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</si>
  <si>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</si>
  <si>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</si>
  <si>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</si>
  <si>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</si>
  <si>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</si>
  <si>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</si>
  <si>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</si>
  <si>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</si>
  <si>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</si>
  <si>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</si>
  <si>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</si>
  <si>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</si>
  <si>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</si>
  <si>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</si>
  <si>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</si>
  <si>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</si>
  <si>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</si>
  <si>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</si>
  <si>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</si>
  <si>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</si>
  <si>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</si>
  <si>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</si>
  <si>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</si>
  <si>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</si>
  <si>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</si>
  <si>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</si>
  <si>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</si>
  <si>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</si>
  <si>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</si>
  <si>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</si>
  <si>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</si>
  <si>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</si>
  <si>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</si>
  <si>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</si>
  <si>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</si>
  <si>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</si>
  <si>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</si>
  <si>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</si>
  <si>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</si>
  <si>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</si>
  <si>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Men's and Boys' Clothing and Furnishings Merchant Wholesalers </t>
  </si>
  <si>
    <t xml:space="preserve">Women's, Children's, and Infants' Clothing and Accessories Merchant Wholesalers </t>
  </si>
  <si>
    <t xml:space="preserve">Footwear Merchant Wholesalers </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</si>
  <si>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</si>
  <si>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</si>
  <si>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</si>
  <si>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</si>
  <si>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</si>
  <si>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</si>
  <si>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</si>
  <si>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</si>
  <si>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</si>
  <si>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</si>
  <si>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</si>
  <si>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</si>
  <si>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</si>
  <si>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</si>
  <si>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</si>
  <si>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</si>
  <si>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</si>
  <si>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</si>
  <si>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</si>
  <si>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</si>
  <si>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</si>
  <si>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and Tobacco Product Merchant Wholesalers </t>
  </si>
  <si>
    <t xml:space="preserve">Paint, Varnish, and Supplies Merchant Wholesalers </t>
  </si>
  <si>
    <t xml:space="preserve">Other Miscellaneous Nondurable Goods Merchant Wholesalers </t>
  </si>
  <si>
    <t xml:space="preserve">Business to Business Electronic Markets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</si>
  <si>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</si>
  <si>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</si>
  <si>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</si>
  <si>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</si>
  <si>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</si>
  <si>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</si>
  <si>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Stores </t>
  </si>
  <si>
    <t xml:space="preserve">Tire Dealers </t>
  </si>
  <si>
    <t xml:space="preserve">Furniture Stores </t>
  </si>
  <si>
    <t xml:space="preserve">Floor Covering Stores </t>
  </si>
  <si>
    <t xml:space="preserve">Window Treatment Stores </t>
  </si>
  <si>
    <t xml:space="preserve">All Other Home Furnishings Stores </t>
  </si>
  <si>
    <t xml:space="preserve">Household Appliance Stores </t>
  </si>
  <si>
    <t xml:space="preserve">Electronics Stores </t>
  </si>
  <si>
    <t xml:space="preserve">Home Centers </t>
  </si>
  <si>
    <t xml:space="preserve">Paint and Wallpaper Stores </t>
  </si>
  <si>
    <t xml:space="preserve">Hardware Stores </t>
  </si>
  <si>
    <t xml:space="preserve">Other Building Material Dealers </t>
  </si>
  <si>
    <t xml:space="preserve">Outdoor Power Equipment Stores </t>
  </si>
  <si>
    <t xml:space="preserve">Nursery, Garden Center, and Farm Supply Stores </t>
  </si>
  <si>
    <t xml:space="preserve">Supermarkets and Other Grocery (except Convenience) Stores </t>
  </si>
  <si>
    <t xml:space="preserve">Convenience Stores </t>
  </si>
  <si>
    <t xml:space="preserve">Meat Markets </t>
  </si>
  <si>
    <t xml:space="preserve">Fish and Seafood Markets </t>
  </si>
  <si>
    <t xml:space="preserve">Fruit and Vegetable Markets </t>
  </si>
  <si>
    <t xml:space="preserve">Baked Goods Stores </t>
  </si>
  <si>
    <t xml:space="preserve">Confectionery and Nut Stores </t>
  </si>
  <si>
    <t xml:space="preserve">All Other Specialty Food Stores </t>
  </si>
  <si>
    <t xml:space="preserve">Beer, Wine, and Liquor Stores </t>
  </si>
  <si>
    <t xml:space="preserve">Pharmacies and Drug Stores </t>
  </si>
  <si>
    <t xml:space="preserve">Cosmetics, Beauty Supplies, and Perfume Stores </t>
  </si>
  <si>
    <t xml:space="preserve">Optical Goods Stores </t>
  </si>
  <si>
    <t xml:space="preserve">Food (Health) Supplement Stores </t>
  </si>
  <si>
    <t xml:space="preserve">All Other Health and Personal Care Stores </t>
  </si>
  <si>
    <t xml:space="preserve">Gasoline Stations with Convenience Stores </t>
  </si>
  <si>
    <t xml:space="preserve">Other Gasoline Stations </t>
  </si>
  <si>
    <t xml:space="preserve">Men's Clothing Stores </t>
  </si>
  <si>
    <t xml:space="preserve">Women's Clothing Stores </t>
  </si>
  <si>
    <t xml:space="preserve">Children's and Infants' Clothing Stores </t>
  </si>
  <si>
    <t xml:space="preserve">Family Clothing Stores </t>
  </si>
  <si>
    <t xml:space="preserve">Clothing Accessories Stores </t>
  </si>
  <si>
    <t xml:space="preserve">Other Clothing Stores </t>
  </si>
  <si>
    <t xml:space="preserve">Shoe Stores </t>
  </si>
  <si>
    <t xml:space="preserve">Jewelry Stores </t>
  </si>
  <si>
    <t xml:space="preserve">Luggage and Leather Goods Stores </t>
  </si>
  <si>
    <t xml:space="preserve">Sporting Goods Stores </t>
  </si>
  <si>
    <t xml:space="preserve">Hobby, Toy, and Game Stores </t>
  </si>
  <si>
    <t xml:space="preserve">Sewing, Needlework, and Piece Goods Stores </t>
  </si>
  <si>
    <t xml:space="preserve">Musical Instrument and Supplies Stores </t>
  </si>
  <si>
    <t xml:space="preserve">Book Stores </t>
  </si>
  <si>
    <t xml:space="preserve">News Dealers and Newsstands </t>
  </si>
  <si>
    <t xml:space="preserve">Warehouse Clubs and Supercenters </t>
  </si>
  <si>
    <t xml:space="preserve">All Other General Merchandise Stores </t>
  </si>
  <si>
    <t xml:space="preserve">Florists </t>
  </si>
  <si>
    <t xml:space="preserve">Office Supplies and Stationery Stores </t>
  </si>
  <si>
    <t xml:space="preserve">Gift, Novelty, and Souvenir Stores </t>
  </si>
  <si>
    <t xml:space="preserve">Used Merchandise Stores </t>
  </si>
  <si>
    <t xml:space="preserve">Pet and Pet Supplies Stores </t>
  </si>
  <si>
    <t xml:space="preserve">Art Dealers </t>
  </si>
  <si>
    <t xml:space="preserve">Manufactured (Mobile) Home Dealers </t>
  </si>
  <si>
    <t xml:space="preserve">Tobacco Stores </t>
  </si>
  <si>
    <t xml:space="preserve">All Other Miscellaneous Store Retailers (except Tobacco Stores) </t>
  </si>
  <si>
    <t xml:space="preserve">Vending Machine Operators </t>
  </si>
  <si>
    <t xml:space="preserve">Fuel Dealers </t>
  </si>
  <si>
    <t xml:space="preserve">Other Direct Selling Establishments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</si>
  <si>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</si>
  <si>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</si>
  <si>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</si>
  <si>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</si>
  <si>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</si>
  <si>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</si>
  <si>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</si>
  <si>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</si>
  <si>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</si>
  <si>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</si>
  <si>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</si>
  <si>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</si>
  <si>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</si>
  <si>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</si>
  <si>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</si>
  <si>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</si>
  <si>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</si>
  <si>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</si>
  <si>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</si>
  <si>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</si>
  <si>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</si>
  <si>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</si>
  <si>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</si>
  <si>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</si>
  <si>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Service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</si>
  <si>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</si>
  <si>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</si>
  <si>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</si>
  <si>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</si>
  <si>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</si>
  <si>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</si>
  <si>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</si>
  <si>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</si>
  <si>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</si>
  <si>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</si>
  <si>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</si>
  <si>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</si>
  <si>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</si>
  <si>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</si>
  <si>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</si>
  <si>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</si>
  <si>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</si>
  <si>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</si>
  <si>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</si>
  <si>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</si>
  <si>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</si>
  <si>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</si>
  <si>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</si>
  <si>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</si>
  <si>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</si>
  <si>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</si>
  <si>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</si>
  <si>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</si>
  <si>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</si>
  <si>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</si>
  <si>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</si>
  <si>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</si>
  <si>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</si>
  <si>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</si>
  <si>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</si>
  <si>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</si>
  <si>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</si>
  <si>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</si>
  <si>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</si>
  <si>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</si>
  <si>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</si>
  <si>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</si>
  <si>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</si>
  <si>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</si>
  <si>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</si>
  <si>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Music Publishers</t>
  </si>
  <si>
    <t>Sound Recording Studios</t>
  </si>
  <si>
    <t>Other Sound Recording Industries</t>
  </si>
  <si>
    <t xml:space="preserve">Radio Networks </t>
  </si>
  <si>
    <t xml:space="preserve">Radio Stations </t>
  </si>
  <si>
    <t>Television Broadcasting</t>
  </si>
  <si>
    <t>Cable and Other Subscription Programming</t>
  </si>
  <si>
    <t xml:space="preserve">Wired Telecommunications Carriers </t>
  </si>
  <si>
    <t>Wireless Telecommunications Carriers (except Satellite)</t>
  </si>
  <si>
    <t>Satellite Telecommunications</t>
  </si>
  <si>
    <t xml:space="preserve">Telecommunications Resellers </t>
  </si>
  <si>
    <t xml:space="preserve">All Other Telecommunications </t>
  </si>
  <si>
    <t>Data Processing, Hosting, and Related Services</t>
  </si>
  <si>
    <t>News Syndicates</t>
  </si>
  <si>
    <t xml:space="preserve">Libraries and Archives </t>
  </si>
  <si>
    <t>Internet Publishing and Broadcasting and Web Search Portals</t>
  </si>
  <si>
    <t>All Other Information Services</t>
  </si>
  <si>
    <t>Monetary Authorities-Central Bank</t>
  </si>
  <si>
    <t xml:space="preserve">Commercial Banking </t>
  </si>
  <si>
    <t xml:space="preserve">Savings Institutions </t>
  </si>
  <si>
    <t xml:space="preserve">Credit Unions </t>
  </si>
  <si>
    <t xml:space="preserve">Other Depository Credit Intermediation </t>
  </si>
  <si>
    <t xml:space="preserve">Credit Card Issuing </t>
  </si>
  <si>
    <t xml:space="preserve">Sales Financing </t>
  </si>
  <si>
    <t xml:space="preserve">Consumer Lending </t>
  </si>
  <si>
    <t xml:space="preserve">Real Estate Credit </t>
  </si>
  <si>
    <t xml:space="preserve">International Trade Financing </t>
  </si>
  <si>
    <t xml:space="preserve">Secondary Market Financing </t>
  </si>
  <si>
    <t xml:space="preserve">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</si>
  <si>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</si>
  <si>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</si>
  <si>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</si>
  <si>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Dealing </t>
  </si>
  <si>
    <t xml:space="preserve">Securities Brokerage </t>
  </si>
  <si>
    <t xml:space="preserve">Commodity Contracts Dealing </t>
  </si>
  <si>
    <t xml:space="preserve">Commodity Contracts Brokerage </t>
  </si>
  <si>
    <t>Securities and Commodity Exchanges</t>
  </si>
  <si>
    <t xml:space="preserve">Miscellaneous Intermediation </t>
  </si>
  <si>
    <t xml:space="preserve">Portfolio Management </t>
  </si>
  <si>
    <t xml:space="preserve">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</si>
  <si>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</si>
  <si>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</si>
  <si>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</si>
  <si>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</si>
  <si>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</si>
  <si>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</si>
  <si>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</si>
  <si>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</si>
  <si>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</si>
  <si>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</si>
  <si>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</si>
  <si>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</si>
  <si>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</si>
  <si>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</si>
  <si>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</si>
  <si>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</si>
  <si>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</si>
  <si>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</si>
  <si>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</si>
  <si>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</si>
  <si>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</si>
  <si>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</si>
  <si>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</si>
  <si>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</si>
  <si>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</si>
  <si>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</si>
  <si>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</si>
  <si>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</si>
  <si>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</si>
  <si>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</si>
  <si>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</si>
  <si>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</si>
  <si>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</si>
  <si>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</si>
  <si>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</si>
  <si>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</si>
  <si>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</si>
  <si>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</si>
  <si>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</si>
  <si>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</si>
  <si>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</si>
  <si>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</si>
  <si>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</si>
  <si>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</si>
  <si>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</si>
  <si>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</si>
  <si>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</si>
  <si>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</si>
  <si>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</si>
  <si>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</si>
  <si>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</si>
  <si>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</si>
  <si>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</si>
  <si>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</si>
  <si>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</si>
  <si>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</si>
  <si>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</si>
  <si>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</si>
  <si>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</si>
  <si>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</si>
  <si>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</si>
  <si>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</si>
  <si>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</si>
  <si>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</si>
  <si>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</si>
  <si>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</si>
  <si>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</si>
  <si>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</si>
  <si>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</si>
  <si>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</si>
  <si>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</si>
  <si>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</si>
  <si>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</si>
  <si>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the Social Sciences and Humanities </t>
  </si>
  <si>
    <t>Advertising Agencies</t>
  </si>
  <si>
    <t>Public Relations Agencies</t>
  </si>
  <si>
    <t>Media Buying Agencies</t>
  </si>
  <si>
    <t>Media Representatives</t>
  </si>
  <si>
    <t>Outdoor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</si>
  <si>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</si>
  <si>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</si>
  <si>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</si>
  <si>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</si>
  <si>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</si>
  <si>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</si>
  <si>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</si>
  <si>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</si>
  <si>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</si>
  <si>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</si>
  <si>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</si>
  <si>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</si>
  <si>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</si>
  <si>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</si>
  <si>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</si>
  <si>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t>Temporary Help Services</t>
  </si>
  <si>
    <t>Professional Employer Organizations</t>
  </si>
  <si>
    <t>Document Preparation Services</t>
  </si>
  <si>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</si>
  <si>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</si>
  <si>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</si>
  <si>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</si>
  <si>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</si>
  <si>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</si>
  <si>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</si>
  <si>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</si>
  <si>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</si>
  <si>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</si>
  <si>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</si>
  <si>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</si>
  <si>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</si>
  <si>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</si>
  <si>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</si>
  <si>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</si>
  <si>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</si>
  <si>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</si>
  <si>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</si>
  <si>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</si>
  <si>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</si>
  <si>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</si>
  <si>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</si>
  <si>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</si>
  <si>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</si>
  <si>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</si>
  <si>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</si>
  <si>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</si>
  <si>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</si>
  <si>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</si>
  <si>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</si>
  <si>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</si>
  <si>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</si>
  <si>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</si>
  <si>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</si>
  <si>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</si>
  <si>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</si>
  <si>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</si>
  <si>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</si>
  <si>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</si>
  <si>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</si>
  <si>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</si>
  <si>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</si>
  <si>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</si>
  <si>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</si>
  <si>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</si>
  <si>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</si>
  <si>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</si>
  <si>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</si>
  <si>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</si>
  <si>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</si>
  <si>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</si>
  <si>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</si>
  <si>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</si>
  <si>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</si>
  <si>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</si>
  <si>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</si>
  <si>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</si>
  <si>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</si>
  <si>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</si>
  <si>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</si>
  <si>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</si>
  <si>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</si>
  <si>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</si>
  <si>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</si>
  <si>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</si>
  <si>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</si>
  <si>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</si>
  <si>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</si>
  <si>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</si>
  <si>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</si>
  <si>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</si>
  <si>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</si>
  <si>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</si>
  <si>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</si>
  <si>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</si>
  <si>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</si>
  <si>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</si>
  <si>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</si>
  <si>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</si>
  <si>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</si>
  <si>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</si>
  <si>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</si>
  <si>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</si>
  <si>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</si>
  <si>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</si>
  <si>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</si>
  <si>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</si>
  <si>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</si>
  <si>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</si>
  <si>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</si>
  <si>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Day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</si>
  <si>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</si>
  <si>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</si>
  <si>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</si>
  <si>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</si>
  <si>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</si>
  <si>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</si>
  <si>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</si>
  <si>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</si>
  <si>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</si>
  <si>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</si>
  <si>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</si>
  <si>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</si>
  <si>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</si>
  <si>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</si>
  <si>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</si>
  <si>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</si>
  <si>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</si>
  <si>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</si>
  <si>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</si>
  <si>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</si>
  <si>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</si>
  <si>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</si>
  <si>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</si>
  <si>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</si>
  <si>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</si>
  <si>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</si>
  <si>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</si>
  <si>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</si>
  <si>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</si>
  <si>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</si>
  <si>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Food Service Contractors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</si>
  <si>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</si>
  <si>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</si>
  <si>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</si>
  <si>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</si>
  <si>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</si>
  <si>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</si>
  <si>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</si>
  <si>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Automotive Exhaust System Repair </t>
  </si>
  <si>
    <t xml:space="preserve">Automotive Transmission Repair </t>
  </si>
  <si>
    <t xml:space="preserve">Other Automotive Mechanical and Electrical Repair and Maintenance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</si>
  <si>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</si>
  <si>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</si>
  <si>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</si>
  <si>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</si>
  <si>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</si>
  <si>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Consumer Electronics Repair and Maintenance </t>
  </si>
  <si>
    <t xml:space="preserve">Computer and Office Machine Repair and Maintenance </t>
  </si>
  <si>
    <t xml:space="preserve">Communication Equipment Repair and Maintenance </t>
  </si>
  <si>
    <t xml:space="preserve">Other 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</si>
  <si>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</si>
  <si>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</si>
  <si>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</si>
  <si>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</si>
  <si>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</si>
  <si>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</si>
  <si>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</si>
  <si>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</si>
  <si>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</si>
  <si>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</si>
  <si>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</si>
  <si>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</si>
  <si>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</si>
  <si>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</si>
  <si>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</si>
  <si>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</si>
  <si>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</si>
  <si>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</si>
  <si>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</si>
  <si>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</si>
  <si>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</si>
  <si>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</si>
  <si>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</si>
  <si>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</si>
  <si>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</si>
  <si>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</si>
  <si>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</si>
  <si>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</si>
  <si>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</si>
  <si>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</si>
  <si>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</si>
  <si>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</si>
  <si>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</si>
  <si>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</si>
  <si>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</si>
  <si>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</si>
  <si>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</si>
  <si>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</si>
  <si>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</si>
  <si>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</si>
  <si>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</si>
  <si>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</si>
  <si>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</si>
  <si>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</si>
  <si>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</si>
  <si>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</si>
  <si>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</si>
  <si>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</si>
  <si>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</si>
  <si>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</si>
  <si>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</si>
  <si>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</si>
  <si>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</si>
  <si>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</si>
  <si>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</si>
  <si>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</si>
  <si>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</si>
  <si>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</si>
  <si>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</si>
  <si>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</si>
  <si>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</si>
  <si>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</si>
  <si>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</si>
  <si>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</si>
  <si>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</si>
  <si>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Is the facility located on leased property?</t>
  </si>
  <si>
    <t>Company Name:</t>
  </si>
  <si>
    <t>Company City:</t>
  </si>
  <si>
    <t>Company State:</t>
  </si>
  <si>
    <t>Company ZIP:</t>
  </si>
  <si>
    <t>Company Address:</t>
  </si>
  <si>
    <t>Is the business incorporated?</t>
  </si>
  <si>
    <t>Facility Contact Person:</t>
  </si>
  <si>
    <t>E-Mail:</t>
  </si>
  <si>
    <t>Phone Number:</t>
  </si>
  <si>
    <t>Who is the primary contact for questions regarding this application?</t>
  </si>
  <si>
    <t>Facility Contact Person Title or Responsibility:</t>
  </si>
  <si>
    <t>Purpose of Application:</t>
  </si>
  <si>
    <t>Does this facility currently hold an operating permit issued by the LLCHD?</t>
  </si>
  <si>
    <t>Is the facility located within 50 miles of another state?</t>
  </si>
  <si>
    <t>Does this facility currently hold one or more construction permits issued by the LLCHD?</t>
  </si>
  <si>
    <t>If you know what type of permit you are applying for, check the appropriate box:</t>
  </si>
  <si>
    <t>2. Will continue to comply with all applicable requirements for which compliance has been achieved; and,</t>
  </si>
  <si>
    <t>3. Will comply with all applicable requirements for which compliance is not currently achieved</t>
  </si>
  <si>
    <t>Compliance Certification</t>
  </si>
  <si>
    <t>Truth and Accuracy Certification</t>
  </si>
  <si>
    <t>Electronic Copy Certification</t>
  </si>
  <si>
    <t>Only 'Agree' when an electronic copy is submitted with the hard copy application.  If not submitting an electronic copy, select "N/A".</t>
  </si>
  <si>
    <r>
      <t xml:space="preserve">Responsible Official Name: </t>
    </r>
    <r>
      <rPr>
        <sz val="11"/>
        <color theme="1"/>
        <rFont val="Arial"/>
        <family val="2"/>
      </rPr>
      <t>(printed or typed)</t>
    </r>
  </si>
  <si>
    <t>Responsible Official Title:</t>
  </si>
  <si>
    <t>Responsible Official Signature:</t>
  </si>
  <si>
    <t>Date:</t>
  </si>
  <si>
    <t>^^^^^</t>
  </si>
  <si>
    <t>See the instructions included below to determine what qualifies as a 'Responsible Official'.</t>
  </si>
  <si>
    <t>Requirements for a 'Responsible Official':</t>
  </si>
  <si>
    <t>Each application must include a certification statement indicating that the information contained in the application is true, accurate and complete and be signed by a Responsible Official of the organization that will operate the source, or by a Responsible Official of the organization which owns the source.  A Responsible Official can be:</t>
  </si>
  <si>
    <t>For a Corporation:</t>
  </si>
  <si>
    <t xml:space="preserve">1.  </t>
  </si>
  <si>
    <t xml:space="preserve">a.  </t>
  </si>
  <si>
    <t>A president, secretary, treasurer, or vice-president of the corporation in charge of a principal business function; or,</t>
  </si>
  <si>
    <t xml:space="preserve">b.  </t>
  </si>
  <si>
    <t>Any other person who performs similar policy or decision-making functions for the corporation; or,</t>
  </si>
  <si>
    <t xml:space="preserve">c.  </t>
  </si>
  <si>
    <t>A duly authorized representative of such person if the representative is responsible for the overall operation of one or more manufacturing, production, or operating facilities applying for or subject to a permit and either:</t>
  </si>
  <si>
    <t xml:space="preserve">i.  </t>
  </si>
  <si>
    <t>The facilities employ more than 250 persons or have gross annual sales or expenditures exceeding $25 million (in second quarter 1980 dollars); or,</t>
  </si>
  <si>
    <t xml:space="preserve">ii.  </t>
  </si>
  <si>
    <t>The delegation of authority to such representatives is approved in advance by the LLCHD.</t>
  </si>
  <si>
    <t xml:space="preserve">2.  </t>
  </si>
  <si>
    <t>For a partnership of sole proprietorship:</t>
  </si>
  <si>
    <t>A general partner or the proprietor, respectively;</t>
  </si>
  <si>
    <t xml:space="preserve">3.  </t>
  </si>
  <si>
    <t>For a municipality, State, Federal, or other public agency:</t>
  </si>
  <si>
    <t>Either a principal executive officer or ranking elected official.  For the proposes of this application, the principal executive officer of a Federal agency included the chief executive officer having responsibility for the overall operations of a principal geographic unit of the agency (e.g., a Regional Administrator of EPA); or,</t>
  </si>
  <si>
    <t xml:space="preserve">4.  </t>
  </si>
  <si>
    <t>For affected sources:</t>
  </si>
  <si>
    <t>The designated representative in so far as actions, standards, requirements, or prohibitions under Article 2, Section 26 of the LLCAPCPRS are concerned; and,</t>
  </si>
  <si>
    <t>The designated representative for any other purpose under the Title V program.</t>
  </si>
  <si>
    <t>http://www.census.gov/eos/www/naics/</t>
  </si>
  <si>
    <t>SECTION 2:  DETAILED SOURCE INFORMATION</t>
  </si>
  <si>
    <t>SECTION 1:  ADMINISTRATIVE INFORMATION AND RESPONSIBLE OFFICIAL CERTIFICATION</t>
  </si>
  <si>
    <t>Is this source operated seasonally, or year-round?</t>
  </si>
  <si>
    <t>Provide the normal operating schedule:</t>
  </si>
  <si>
    <t>Hours per Day:</t>
  </si>
  <si>
    <t>Days per Week:</t>
  </si>
  <si>
    <t>Weeks per Year:</t>
  </si>
  <si>
    <t>Does the source operate under an alternative schedule on a regular basis?</t>
  </si>
  <si>
    <t>SECTION 4 – INSIGNIFICANT ACTIVITIES</t>
  </si>
  <si>
    <t>Storage ID</t>
  </si>
  <si>
    <t>Installation Date</t>
  </si>
  <si>
    <t>Tank/Vessel Contents</t>
  </si>
  <si>
    <t>Maximum Capacity (gallons)</t>
  </si>
  <si>
    <t>Vapor Pressure @ Standard Conditions (psi)</t>
  </si>
  <si>
    <t>SECTION 5 – MAXIMUM POTENTIAL TO EMIT (MPTE)</t>
  </si>
  <si>
    <t>HAP CAS #</t>
  </si>
  <si>
    <t>Emission Unit #</t>
  </si>
  <si>
    <t>SECTION 7 – ACTUAL POTENTIAL TO EMIT (APTE)</t>
  </si>
  <si>
    <t>Natural Gas</t>
  </si>
  <si>
    <t>Associated Emission Unit</t>
  </si>
  <si>
    <t>Fugitive</t>
  </si>
  <si>
    <t>Vertical, Horizontal, or Fugitive</t>
  </si>
  <si>
    <r>
      <t xml:space="preserve">Alternate Phone Number: </t>
    </r>
    <r>
      <rPr>
        <i/>
        <sz val="11"/>
        <color theme="1"/>
        <rFont val="Arial"/>
        <family val="2"/>
      </rPr>
      <t>(optional)</t>
    </r>
  </si>
  <si>
    <r>
      <t xml:space="preserve">Fax Number: </t>
    </r>
    <r>
      <rPr>
        <i/>
        <sz val="11"/>
        <color theme="1"/>
        <rFont val="Arial"/>
        <family val="2"/>
      </rPr>
      <t>(optional)</t>
    </r>
  </si>
  <si>
    <t>INTRODUCTION &amp; GENERAL INSTRUCTIONS</t>
  </si>
  <si>
    <t>Once you've entered information into the box, the formatting will change, and the yellow highlighting will disappear, as shown below:</t>
  </si>
  <si>
    <t>XYZ Manufacturing Co.</t>
  </si>
  <si>
    <t>If you make an invalid entry, a message describing the reason for the invalid entry will appear in a box highlighted in orange, as shown below:</t>
  </si>
  <si>
    <t>Too many boxes checked.</t>
  </si>
  <si>
    <t>If you select an option in this sheet that renders other information irrelevant, cells containing irrelevant information will automatically format to a 'crosshatch' pattern, indicating that you do not need to enter any information or make any selections in that cell.  An example of this is shown below:</t>
  </si>
  <si>
    <t>Many of the sheets in this workbook will have specific instructions associated with them.  These instructions will often be displayed either at the top of each sheet, or in cells located to the right of the form.  Please be sure to read and follow all instructions provided with each respective sheet.</t>
  </si>
  <si>
    <t>End of Instructions.  Complete the table below.</t>
  </si>
  <si>
    <t>When printing, be sure to specify printing only of pages that contain stack data.</t>
  </si>
  <si>
    <t>Latitude Conversion:</t>
  </si>
  <si>
    <t>Longitude Conversion:</t>
  </si>
  <si>
    <t>Meters to Feet:</t>
  </si>
  <si>
    <t>Exhaust Flow Rate to Exhaust Exit Velocity:</t>
  </si>
  <si>
    <t>degrees North</t>
  </si>
  <si>
    <t>minutes</t>
  </si>
  <si>
    <t>seconds</t>
  </si>
  <si>
    <t>Decimal Degrees:</t>
  </si>
  <si>
    <t>degrees West</t>
  </si>
  <si>
    <t>meters</t>
  </si>
  <si>
    <t>Feet:</t>
  </si>
  <si>
    <t>feet wide</t>
  </si>
  <si>
    <t>Equivalent Diameter (opening dimensions):</t>
  </si>
  <si>
    <r>
      <t>Degrees Fahrenheit (</t>
    </r>
    <r>
      <rPr>
        <b/>
        <sz val="11"/>
        <color theme="1"/>
        <rFont val="Calibri"/>
        <family val="2"/>
      </rPr>
      <t>°F)</t>
    </r>
  </si>
  <si>
    <t>Exhaust Exit Velocity (ft/sec):</t>
  </si>
  <si>
    <t>Equivalent Diameter (feet):</t>
  </si>
  <si>
    <t>cubic feet per second, OR</t>
  </si>
  <si>
    <t>cubic feet per minute</t>
  </si>
  <si>
    <t xml:space="preserve">diameter (or equivalent diameter) in feet </t>
  </si>
  <si>
    <t>Conversion Tools</t>
  </si>
  <si>
    <t>Portable generators are still considered Insignificant Activities, and do not need to be included in Table 4-A.</t>
  </si>
  <si>
    <t>Stationary compression ignition internal combustion engines constructed, reconstructed, or modified after July 11, 2005, and stationary spark ignition internal combustion engines constructed, reconstructed, or modified after June 12, 2006, may be subject to 'New Source Performance Standards' (NSPS) set forth in 40 CFR 60 Subparts IIII and JJJJ.  These NSPS Subparts do not have minimum horsepower ratings, so engines of any size may be affected.</t>
  </si>
  <si>
    <t>Janitorial activities, services, and consumer use of janitorial products.</t>
  </si>
  <si>
    <t>Maintenance of processing equipment, machinery and/or control devices, buildings, grounds or facilities to maintain appearance or condition provided these activities are not conducted as part of a manufacturing process and do not trigger a permit modification.</t>
  </si>
  <si>
    <t>Portable, sealed storage containers that are not connected to a process unit or line by piping, transfer hoses, lines or valves, etc.</t>
  </si>
  <si>
    <t>Air condition units used for human comfort.</t>
  </si>
  <si>
    <t>Ventilating units used for human comfort that do not exhaust air pollutants into the ambient air from any manufacturing, industrial, or commercial process.</t>
  </si>
  <si>
    <t>Non-commercial food preparation.</t>
  </si>
  <si>
    <t>Laundry activities, except for dry-cleaning and steam boilers.</t>
  </si>
  <si>
    <t>Tobacco smoking rooms and areas.</t>
  </si>
  <si>
    <t>Forges and drop hammers or hydraulic presses used for forging or metal working.</t>
  </si>
  <si>
    <t>Hand-held equipment for buffing, polishing, cutting, drilling, sawing, grinding, turning or machining wood, metal, or plastic.</t>
  </si>
  <si>
    <t>Brazing, soldering, and welding equipment, and cutting torches related to manufacturing and construction activities that do not result in emission of HAP metals.</t>
  </si>
  <si>
    <t>Air compressors and pneumatically operated equipment, including hand tools.</t>
  </si>
  <si>
    <t>Batteries and battery charging stations, except at battery manufacturing plants.</t>
  </si>
  <si>
    <t>Equipment used to mix and package items such as soaps, vegetable oil, grease, animal fat, and nonvolatile aqueous salt solutions, provided appropriate lids and covers are utilized.</t>
  </si>
  <si>
    <t>Equipment used exclusively to slaughter animals.</t>
  </si>
  <si>
    <t>Vents from continuous emissions monitors and other analyzers.</t>
  </si>
  <si>
    <t>Hot melt adhesives with no VOC or HAP in the formulation.</t>
  </si>
  <si>
    <r>
      <t>CO</t>
    </r>
    <r>
      <rPr>
        <b/>
        <vertAlign val="subscript"/>
        <sz val="11"/>
        <color theme="1"/>
        <rFont val="Calibri"/>
        <family val="2"/>
        <scheme val="minor"/>
      </rPr>
      <t>2</t>
    </r>
    <r>
      <rPr>
        <b/>
        <sz val="11"/>
        <color theme="1"/>
        <rFont val="Calibri"/>
        <family val="2"/>
        <scheme val="minor"/>
      </rPr>
      <t xml:space="preserve"> lasers, used only on metals and other materials which do not emit HAP in the process.</t>
    </r>
  </si>
  <si>
    <t>Electric or steam-heated drying ovens and autoclaves, but not the emissions from the articles or substances being processed in the ovens or autoclaves or the boilers delivering the steam.</t>
  </si>
  <si>
    <t>Salt baths using nonvolatile salts that do not result in emissions of any regulated air pollutants.</t>
  </si>
  <si>
    <t>Laser trimmers using dust collection that do not result in emissions of HAP metals.</t>
  </si>
  <si>
    <t>Laboratory equipment used for physical or chemical analysis but not lab fume hoods or vents.</t>
  </si>
  <si>
    <t>Routine calibration and maintenance of laboratory equipment or other analytical instruments.</t>
  </si>
  <si>
    <t>Equipment used for quality control/assurance or inspection purposes, including sampling equipment used to withdraw materials for analysis.</t>
  </si>
  <si>
    <t>Hydraulic and hydrostatic testing equipment.</t>
  </si>
  <si>
    <t>Environmental chambers not using HAP gases.</t>
  </si>
  <si>
    <t>Shock chambers, humidity chambers, and solar simulators.</t>
  </si>
  <si>
    <t>Fugitive emissions related to movement of passenger vehicles, provided the emissions are not counted for applicability purposes and any required fugitive dust control plan or its equivalent is submitted.</t>
  </si>
  <si>
    <t>Process water filtration, deionization, and demineralization systems, demineralizer water tanks, and demineralizer vents.</t>
  </si>
  <si>
    <t>Boiler water treatment operations, not including cooling towers.</t>
  </si>
  <si>
    <t>Oxygen scavenging (de-aeration) of water.</t>
  </si>
  <si>
    <t>Ozone generators.</t>
  </si>
  <si>
    <t>Emergency road flares.</t>
  </si>
  <si>
    <t>Steam vents and safety relief valves.</t>
  </si>
  <si>
    <t>Steam leaks.</t>
  </si>
  <si>
    <t>Steam cleaning and sterilizer operations.</t>
  </si>
  <si>
    <t>Employee support activities such as cafeteria and recreational facilities.</t>
  </si>
  <si>
    <t>Laboratory and Research and Development Activities conducted exclusively in the non-processing areas of the facility.</t>
  </si>
  <si>
    <t>Office activities, including operation of standard office equipment when such activities are conducted solely in support of the principal business activity, not including printers or businesses primarily involved in photographic reproduction.</t>
  </si>
  <si>
    <t>Water heaters, provided such heaters do not supply heated water for material processing.</t>
  </si>
  <si>
    <t>Fuel Type</t>
  </si>
  <si>
    <t>Maximum Heat Input Rating</t>
  </si>
  <si>
    <t>10.0 MMBtu/hr</t>
  </si>
  <si>
    <t>Propane</t>
  </si>
  <si>
    <t>8.0 MMBtu/hr</t>
  </si>
  <si>
    <t>A.  Insignificant Activities List For ALL Class I and Class II Sources</t>
  </si>
  <si>
    <t>NOTE:   Click here for the 'Important Note Regarding Boilers'.</t>
  </si>
  <si>
    <t>IMPORTANT NOTE REGARDING BOILERS</t>
  </si>
  <si>
    <t>IMPORTANT NOTE REGARDING RECIPROCATING INTERNAL COMBUSTION ENGINES (RICE)</t>
  </si>
  <si>
    <t>Cooling Tower ID</t>
  </si>
  <si>
    <t>Total Dissolved Solids Conc. (ppmv)</t>
  </si>
  <si>
    <t>Average Days in Service / Year</t>
  </si>
  <si>
    <t>Estimated Drift Loss (%)</t>
  </si>
  <si>
    <t>Induced Draft or Natural Draft?</t>
  </si>
  <si>
    <t>Remember that lubricating and heavy oil storage should be provided in Table 4-B, and cooling tower data should be provided in Table 4-C.</t>
  </si>
  <si>
    <t>For 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</si>
  <si>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t>For fuel storage and distribution equipment, include the storage capacity (in gallons) of each fuel storage vessel, as well as the type of fuel being stored.</t>
  </si>
  <si>
    <t>For natural-gas fired turbines, include the peak brake horsepower rating (peak bhp).</t>
  </si>
  <si>
    <t>Information on maximum circulating flow rate  and estimated drift loss should be available from the unit manufacturer.  If you are unable to obtain estimated drift loss, then you may use a default value of 0.02% for 'induced draft' cooling towers, and a default value of 0.00088% for natural draft cooling towers. (source: EPA's AP-42 Section 13.4)</t>
  </si>
  <si>
    <t>MMcf</t>
  </si>
  <si>
    <t>Mgal</t>
  </si>
  <si>
    <t>gals</t>
  </si>
  <si>
    <t>For 'Process Rate Units' (Column D), enter the unit of measure that the 'Process Rate' is provided in.  When entering 'Process Rate Units', please use the following abbreviations, as applicable:</t>
  </si>
  <si>
    <t>Million cubic feet = MMcf</t>
  </si>
  <si>
    <t>Thousand gallons = Mgal</t>
  </si>
  <si>
    <t>Vehicle Miles Traveled = VMT</t>
  </si>
  <si>
    <t>Please list maximum potential emissions of all pollutants for each emission unit in pounds per year.</t>
  </si>
  <si>
    <t>For 'Material Name' (Column A), enter the name of the material as it appears on the associated Material Safety Data Sheet (MSDS).</t>
  </si>
  <si>
    <t>For 'Manufacturer Name' (Column B), enter the name of the material manufacturer.</t>
  </si>
  <si>
    <r>
      <t xml:space="preserve">For 'VOC Content', enter either the VOC by weight percent (weight %), or in pounds of VOC per gallon of material.  </t>
    </r>
    <r>
      <rPr>
        <b/>
        <u/>
        <sz val="11"/>
        <rFont val="Calibri"/>
        <family val="2"/>
        <scheme val="minor"/>
      </rPr>
      <t>Do not enter both.</t>
    </r>
  </si>
  <si>
    <t>Blaster 10000</t>
  </si>
  <si>
    <t>XYZ Solvent Co.</t>
  </si>
  <si>
    <t>Solvent</t>
  </si>
  <si>
    <t>Adhesive</t>
  </si>
  <si>
    <t>Triple Crown Adhesive</t>
  </si>
  <si>
    <t>Trojan Ponies, Inc.</t>
  </si>
  <si>
    <t>For 'HAP Name' (Column B), enter the name of the hazardous air pollutant (HAP) constituent.</t>
  </si>
  <si>
    <t>Xylenes</t>
  </si>
  <si>
    <t>For 'HAP CAS #' (Column C), enter the Chemical Abstracts Service (CAS) number for the corresponding HAP.  These can be found at the link provided below.  Only enter numbers in this cell, do not enter any hyphens or other characters.</t>
  </si>
  <si>
    <t>Specific Gravity to Density:</t>
  </si>
  <si>
    <t>For 'Product Density', enter the density of the material in units of 'pounds per gallon'.  If your MSDS provides density in the form of 'Specific Gravity' compared to water, use the appropriate conversion tool below to convert specific gravity into pounds/gallon.</t>
  </si>
  <si>
    <t>Density (lbs/gallon):</t>
  </si>
  <si>
    <t>Pounds to Gallons:</t>
  </si>
  <si>
    <t>&lt; Enter Density (lbs/gal)</t>
  </si>
  <si>
    <t>&lt; Enter Specific Gravity</t>
  </si>
  <si>
    <t>&lt; Enter Pounds Used per Year</t>
  </si>
  <si>
    <t>Gallons per Year:</t>
  </si>
  <si>
    <t>Cans to Gallons:</t>
  </si>
  <si>
    <t>&lt; Enter # of Cans Used per Year</t>
  </si>
  <si>
    <t>&lt; Enter Capacity (fl oz.)</t>
  </si>
  <si>
    <r>
      <t xml:space="preserve">For 'Material Name' (Column A), enter the name of the material as it appears on the associated Material Safety Data Sheet (MSDS).  If a material contains multiple HAP components, </t>
    </r>
    <r>
      <rPr>
        <b/>
        <u/>
        <sz val="11"/>
        <rFont val="Calibri"/>
        <family val="2"/>
        <scheme val="minor"/>
      </rPr>
      <t>only enter the material name ONCE for each material.</t>
    </r>
  </si>
  <si>
    <t>End of Instructions.  Once application is completed, print the table below.</t>
  </si>
  <si>
    <t>In the table below, indicate which emission units you will either accept throughput limits on, or to which you will agree to apply control equipment.</t>
  </si>
  <si>
    <t>Hourly Process Rate</t>
  </si>
  <si>
    <t>Max Annual Throughput</t>
  </si>
  <si>
    <t>Thousand Ampere-Hours = M-A-Hrs</t>
  </si>
  <si>
    <t>Enter Combustion Unit Rating in MMBtu/hr:</t>
  </si>
  <si>
    <t>Natural Gas Hourly fuel use (MMcf / hr):</t>
  </si>
  <si>
    <t>No. 2 Fuel Oil / Diesel Hourly fuel use (Mgal / hr):</t>
  </si>
  <si>
    <t>Kerosene Hourly fuel use (Mgal / hr):</t>
  </si>
  <si>
    <t>Gasoline Hourly fuel use (Mgal / hr):</t>
  </si>
  <si>
    <t>Propane Hourly fuel use (Mgal / hr):</t>
  </si>
  <si>
    <t>Residual Fuel Oil Hourly fuel use (Mgal / hr):</t>
  </si>
  <si>
    <t>Coal Hourly fuel use (tons / hr):</t>
  </si>
  <si>
    <t>For Coal-Burning Units, provide the average Btu content per pound of coal:</t>
  </si>
  <si>
    <t>Agree to Throughput Limit?</t>
  </si>
  <si>
    <t>Annual Throughput Limit</t>
  </si>
  <si>
    <t>Maximum Annual Throughput</t>
  </si>
  <si>
    <t>Limit?</t>
  </si>
  <si>
    <t>Throughput Units</t>
  </si>
  <si>
    <t>Agree to Emission Controls?</t>
  </si>
  <si>
    <t>Controls?</t>
  </si>
  <si>
    <t>Control Code</t>
  </si>
  <si>
    <t>Steam or Water Injection</t>
  </si>
  <si>
    <t>Control Device</t>
  </si>
  <si>
    <t>Control Efficiency %</t>
  </si>
  <si>
    <r>
      <t>PM</t>
    </r>
    <r>
      <rPr>
        <b/>
        <vertAlign val="subscript"/>
        <sz val="11"/>
        <color theme="1"/>
        <rFont val="Calibri"/>
        <family val="2"/>
        <scheme val="minor"/>
      </rPr>
      <t>10</t>
    </r>
  </si>
  <si>
    <r>
      <t>PM</t>
    </r>
    <r>
      <rPr>
        <b/>
        <vertAlign val="subscript"/>
        <sz val="11"/>
        <color theme="1"/>
        <rFont val="Calibri"/>
        <family val="2"/>
        <scheme val="minor"/>
      </rPr>
      <t>2.5</t>
    </r>
  </si>
  <si>
    <t>Fabric Filter</t>
  </si>
  <si>
    <t>Thermal Oxidizer</t>
  </si>
  <si>
    <t>Cyclone</t>
  </si>
  <si>
    <t>Water Spray (Dust)</t>
  </si>
  <si>
    <t>Other</t>
  </si>
  <si>
    <t>Control Type</t>
  </si>
  <si>
    <t>If 'Other', Specify Type</t>
  </si>
  <si>
    <t>Control Device ID</t>
  </si>
  <si>
    <t>Annual Throughput</t>
  </si>
  <si>
    <t>Flare</t>
  </si>
  <si>
    <t>Fabric Filter + Cyclone</t>
  </si>
  <si>
    <t>HEPA Filter</t>
  </si>
  <si>
    <t>Chemical Stabilizer (Roads)</t>
  </si>
  <si>
    <t>2x/Week Sweeping (Roads)</t>
  </si>
  <si>
    <t>Process Fully Enclosed</t>
  </si>
  <si>
    <t>Process Partial Enclosed</t>
  </si>
  <si>
    <t>Oil Spray (Grain Dust)</t>
  </si>
  <si>
    <t>If you agree to accept a throughput limit for the emission unit on that row, the corresponding cell in Column E will be highlighted in yellow to indicate a required entry.  If you do not agree to accept a throughput limit, the cell will fill with a cross-hatch pattern, and you can continue to Column G.</t>
  </si>
  <si>
    <t>In Column G, which will be highlighted in yellow, indicate whether you will agree to apply emission controls to the emission unit in that row.  When you click on the cells under Column G, a drop-down box will give you two options, "Yes" or "No".   Choose the appropriate answer.  If you answer "No", the cells in Columns H, I, and J will fill with a cross-hatch pattern, and you can move on to the next emission unit.</t>
  </si>
  <si>
    <t>In Column C, indicate whether you will agree to a throughput limit for the emission unit in that row.  When you click on the cells under Column C, a drop-down box will give you two options, "Yes" or "No".   Choose the appropriate answer.</t>
  </si>
  <si>
    <t>Once you've entered the control device/method, the corresponding cell in Column I will be highlighted in yellow.  When you click on the cells under Column G, a drop-down box will give you several options.  Choose the option that applies to the corresponding control device/method.  If none of the control device/method options fit the control for that emission unit, select "Other".  You will then be prompted to specify what type of control device/method you are using in Column J.</t>
  </si>
  <si>
    <r>
      <t xml:space="preserve">If you do select "Other" for a control device/method, </t>
    </r>
    <r>
      <rPr>
        <b/>
        <u/>
        <sz val="11"/>
        <rFont val="Calibri"/>
        <family val="2"/>
        <scheme val="minor"/>
      </rPr>
      <t>you must contact the Department</t>
    </r>
    <r>
      <rPr>
        <b/>
        <sz val="11"/>
        <rFont val="Calibri"/>
        <family val="2"/>
        <scheme val="minor"/>
      </rPr>
      <t>.  Department personnel will work with you to apply the appropriate control efficiencies for your control device.</t>
    </r>
  </si>
  <si>
    <t>When you have completed Table 6-A, proceed to Section 7.  Data that you enter in Table 6-A will be used to calculate your facility's actual potential to emit (potential emissions with control devices/methods and throughput limits).</t>
  </si>
  <si>
    <r>
      <rPr>
        <b/>
        <u/>
        <sz val="11"/>
        <color theme="1"/>
        <rFont val="Calibri"/>
        <family val="2"/>
        <scheme val="minor"/>
      </rPr>
      <t>Unless you elected to apply a control device categorized as "Other" in Table 6-A,</t>
    </r>
    <r>
      <rPr>
        <b/>
        <sz val="11"/>
        <color theme="1"/>
        <rFont val="Calibri"/>
        <family val="2"/>
        <scheme val="minor"/>
      </rPr>
      <t xml:space="preserve"> you do not need to enter any information into this table.  Your facility's 'Actual Potential to Emit' (APTE), or the facility's potential to emit after applying control devices/methods and throughput limits has been calculated automatically.  Please review the information presented in Table 7-A for accuracy.  If you find errors or inconsistent data, please contact the Department for assistance.</t>
    </r>
  </si>
  <si>
    <r>
      <t>If you did elect to apply a control device categorized as "Other" in Table 6-A,</t>
    </r>
    <r>
      <rPr>
        <b/>
        <sz val="11"/>
        <rFont val="Calibri"/>
        <family val="2"/>
        <scheme val="minor"/>
      </rPr>
      <t xml:space="preserve"> contact the Department and staff will assist you in applying the appropriate control efficiencies to your emission units.</t>
    </r>
  </si>
  <si>
    <t>Shown below is your source's potential emissions after applying any operational limits or control equipment you elected in Section 6.  Emissions are in units of pounds.</t>
  </si>
  <si>
    <t>(Yes or No)</t>
  </si>
  <si>
    <t>LIMIT OR CONTROL?</t>
  </si>
  <si>
    <r>
      <t xml:space="preserve">Material Name </t>
    </r>
    <r>
      <rPr>
        <b/>
        <sz val="11"/>
        <color theme="1"/>
        <rFont val="Calibri"/>
        <family val="2"/>
      </rPr>
      <t>–</t>
    </r>
    <r>
      <rPr>
        <b/>
        <sz val="11"/>
        <color theme="1"/>
        <rFont val="Arial"/>
        <family val="2"/>
      </rPr>
      <t xml:space="preserve"> Manufacturer: Purpose</t>
    </r>
  </si>
  <si>
    <t>Control Device Type</t>
  </si>
  <si>
    <t>Agree to Control Emissions?</t>
  </si>
  <si>
    <t>CONTROL DEVICE</t>
  </si>
  <si>
    <t>Blaster 10000 - XYZ Solvent Co.: Solvent</t>
  </si>
  <si>
    <t>In Column E, indicate whether you will agree to a throughput limit for the material in that row.  When you click on the cells under Column E, a drop-down box will give you two options, "Yes" or "No".   Choose the appropriate answer.</t>
  </si>
  <si>
    <t>If you select "No" in Column E, the associated cell in Column F will fill with a crosshatch pattern, and the cell should be left blank.  If you select "Yes" in Column E, then you will be prompted to enter a throughput limit in Column F.  Be sure to use the same throughput limit as you used in Table 6-A.  A preliminary VOC total will calculate automatically.</t>
  </si>
  <si>
    <t>In Column I, indicate whether you will agree to control emissions from the material listed in that row.  When you click on the cells under Column I, a drop-down box will give you two options, "Yes" or "No".   Choose the appropriate answer.</t>
  </si>
  <si>
    <t>If you select "No" in Column I, the associated cell in Column J will fill with a crosshatch pattern, and the cell should be left blank.  If you select "Yes" in Column I, then you will be prompted to enter a control device in Column J.  When you click on the cells under Column J, a drop-down box will give you three control options.   Choose the appropriate option.</t>
  </si>
  <si>
    <t>Once all required entries in each row are completed, a Total VOC Emission figure, which incorporates any throughput limits or control devices you elected to use, will be calculated in Column K.</t>
  </si>
  <si>
    <t>Individual HAP Emissions</t>
  </si>
  <si>
    <r>
      <t>Material Name</t>
    </r>
    <r>
      <rPr>
        <b/>
        <sz val="11"/>
        <color theme="1"/>
        <rFont val="Calibri"/>
        <family val="2"/>
      </rPr>
      <t/>
    </r>
  </si>
  <si>
    <t>Triple Crown Adhesive - Trojan Ponies, Inc.: Adhesive</t>
  </si>
  <si>
    <t>Material Throughput Units</t>
  </si>
  <si>
    <t>Maximum Annual Material Throughput</t>
  </si>
  <si>
    <r>
      <t>Material Throughput</t>
    </r>
    <r>
      <rPr>
        <i/>
        <sz val="10"/>
        <color theme="1"/>
        <rFont val="Arial"/>
        <family val="2"/>
      </rPr>
      <t xml:space="preserve">          </t>
    </r>
  </si>
  <si>
    <t>HAP Content Units</t>
  </si>
  <si>
    <t>HAP Units</t>
  </si>
  <si>
    <t>pounds</t>
  </si>
  <si>
    <t>gallons</t>
  </si>
  <si>
    <t>weight %</t>
  </si>
  <si>
    <t>lbs/gallon</t>
  </si>
  <si>
    <t xml:space="preserve">Individual HAP Content          </t>
  </si>
  <si>
    <t>Density</t>
  </si>
  <si>
    <t>% Release</t>
  </si>
  <si>
    <t>Control %</t>
  </si>
  <si>
    <t>Control?</t>
  </si>
  <si>
    <t>Max Throughput</t>
  </si>
  <si>
    <t>Limited Throughput</t>
  </si>
  <si>
    <t/>
  </si>
  <si>
    <t>Cells that are filled in with dark gray do not require data.  Do not enter any information in these cells.</t>
  </si>
  <si>
    <t>If your facility's Actual Potential to Emit (APTE) meets or exceeds any of the Class I permit thresholds, then your source will be required to obtain a Class I operating permit.</t>
  </si>
  <si>
    <t xml:space="preserve">If you met or exceeded any of the Class II permit thresholds in Table 5-D, then your source will be required to obtain a Class II operating permit, regardless of your facility's APTE.  </t>
  </si>
  <si>
    <t xml:space="preserve">Complete and submit the remainder of this application.  </t>
  </si>
  <si>
    <t>If you elected to accept throughput limits or emission control requirements in Section 6 to maintain your facility as a Class II 'Synthetic Minor Source', or as a Class I 'Synthetic Area Source' of HAP emissions then make sure that the limits and control requirements you have accepted will maintain actual emissions at levels that are lower than the applicable thresholds.</t>
  </si>
  <si>
    <t>This application form is designed to be user-friendly by alerting the user as to which inputs are needed, as well as when the user has entered too much information, or invalid information.  The formatting of this application is designed to guide you step-by-step through the process of completing this application.  For example, if an entry is required, the box will be highlighted in yellow, as shown below:</t>
  </si>
  <si>
    <t>As shown in the example above, because the operating schedule is 'year round', the individual months of operation are irrelevant, and the cell is filled with a crosshatch pattern.</t>
  </si>
  <si>
    <t>Celsius to Fahrenheit:</t>
  </si>
  <si>
    <t>Sorted by Pollutant Name</t>
  </si>
  <si>
    <t>Sorted by CAS Number</t>
  </si>
  <si>
    <t>Regulation Citation</t>
  </si>
  <si>
    <t>Regulation Name</t>
  </si>
  <si>
    <t>(e.g. General Provisions)</t>
  </si>
  <si>
    <t>(e.g. 40 CFR 63 Subpart A)</t>
  </si>
  <si>
    <t>Requirement Citation &amp; Name</t>
  </si>
  <si>
    <t>LLCAPCPRS Article 2, Section 18:  New Source Performance Standards (40 CFR Part 60)</t>
  </si>
  <si>
    <t>If "Yes", describe compliance method.  If "No", explain reason it does not apply.</t>
  </si>
  <si>
    <t>Does standard apply?</t>
  </si>
  <si>
    <t>LLCAPCPRS Article 2, Section 19:  Prevention of Significant Deterioration (PSD) of Air Quality</t>
  </si>
  <si>
    <t>LLCAPCPRS Article 2, Section 20, paragraph (E):  &lt;20% Opacity of Visible Emissions</t>
  </si>
  <si>
    <t>LLCAPCPRS Article 2, Section 23:  Hazardous Air Pollutants - Emission Standards (40 CFR Part 61)</t>
  </si>
  <si>
    <t>LLCAPCPRS Article 2, Section 24:  Sulfur Compound Emissions - Existing Sources - Emission Standards</t>
  </si>
  <si>
    <t>LLCAPCPRS Article 2, Section 25:  Nitrogen Oxides - Emission Standards for Existing Stationary Sources</t>
  </si>
  <si>
    <t>LLCAPCPRS Article 2, Section 26:  Acid Rain (40 CFR Parts 72 through 78)</t>
  </si>
  <si>
    <t xml:space="preserve">LLCAPCPRS Article 2, Section 27:  Hazardous Air Pollutants - Maximum Achievable Control Technology (MACT) </t>
  </si>
  <si>
    <t>LLCAPCPRS Article 2, Section 28:  MACT Emission Standards (40 CFR Part 63)</t>
  </si>
  <si>
    <t>LLCAPCPRS Article 2, Section 32:  Dust - Duty to Prevent the Escape Of</t>
  </si>
  <si>
    <t>Applicable requirements for your source may include maintaining allowable stack opacity, maintaining allowable particulate emissions for the total given heat input, adhering to fugitive dust regulations, adhering to the process weight/particulate emissions rates, adhering to all construction permit conditions, etc.  In the boxes below, check all of those requirements in the LLCAPCPRS that may apply to your source, and identify the method by which you intend to demonstrate compliance with the requirement.  If a requirement does not apply to your source, briefly explain the reason it does not apply.</t>
  </si>
  <si>
    <t>PART A:  Applicable Requirements of the LLCAPCPRS</t>
  </si>
  <si>
    <t>(e.g. NSPS for Grain Elevators)</t>
  </si>
  <si>
    <t>(e.g. 40 CFR 60 Subpart DD)</t>
  </si>
  <si>
    <t>Emission unit(s) covered by this regulation.</t>
  </si>
  <si>
    <t>PART B:  Applicable NSPS, NESHAPs, MACT Standards, and Acid Rain Requirements (continued)</t>
  </si>
  <si>
    <t>PART C: Non-Applicable LLCAPCPRS Regulations &amp; Non-Applicable Federal Regulations</t>
  </si>
  <si>
    <t>Provide the reason(s) the regulation does not apply to your source.</t>
  </si>
  <si>
    <t>If supplying compliance explanations for multiple rules, you do not need to submit each explanation on its own piece of paper.</t>
  </si>
  <si>
    <t>PART B:  Applicable Federal Regulations and Additional Applicable LLCAPCPRS</t>
  </si>
  <si>
    <t>In this section, you must identify the applicable regulations set forth under the Lincoln-Lancaster County Air Pollution Control Program Regulations and Standards (LLCAPCPRS), as well as any federal air regulations that apply to your source.  This section should be completed as follows:</t>
  </si>
  <si>
    <t>In Part A of this section, indicate whether the provided regulations of the LLCAPCPRS apply to your source.  For those rules that do apply to your source, provide a brief description (5-10 words) of how your source will demonstrate compliance with the regulation.  Otherwise, provide a brief explanation of why the rule does not apply.</t>
  </si>
  <si>
    <r>
      <t xml:space="preserve">For those regulations that would appear to apply to your source, but do not actually apply to your source, use the spaces provided below to provide the citation of the regulation, as well as the reason(s) that the regulation does not apply to your source. </t>
    </r>
    <r>
      <rPr>
        <sz val="11"/>
        <color theme="1"/>
        <rFont val="Arial"/>
        <family val="2"/>
      </rPr>
      <t xml:space="preserve"> </t>
    </r>
  </si>
  <si>
    <t>The following links have been provided to help you identify which rules may apply to your source.  Department personnel can provide you with technical assistance regarding specific applicability of some rules.  However, if you need a facility-wide analysis of what rules may apply to your source, it is recommended that you contact an environmental consulting firm.</t>
  </si>
  <si>
    <t>Lincoln-Lancaster County Air Pollution Control Program Regulations &amp; Standards (LLCAPCPRS)</t>
  </si>
  <si>
    <t>For 'Stack Inside Diameter', provide the distance across the inside of the stack.  For stacks that are square or rectangular, use the conversion tool below to calculate the 'Equivalent Diameter'.    Once you have calculated the equivalent diameter, enter that figure for the 'Stack Inside Diameter'.</t>
  </si>
  <si>
    <t xml:space="preserve">For 'Exhaust Exit Velocity', enter the velocity of the exhaust gases as they exit the stack.  'Exhaust Flow Rate' will calculate automatically based on exit velocity and stack diameter.  If you only have the exhaust flow rate (in cubic feet/second or cubic feet/minute) use the appropriate conversion tool provided below to calculate exit velocity.  </t>
  </si>
  <si>
    <t>For 'Raincap Present?', a drop-down list of options is available.  Select "Yes" if the stack has a raincap.  Select "No" if no raincap is present.</t>
  </si>
  <si>
    <t>For 'Latitude' and 'Longitude', provide information in 'decimal degrees'.  You do not need to enter the "-" to the longitude to denote 'degrees West', it will be added automatically.  If you enter a value and the cell is highlighted in red, you have entered a value that is outside of the boundary of Lancaster County.</t>
  </si>
  <si>
    <t>For 'Elevation', provide the elevation of the base of the stack (ground level).  If the stack, vent, or release point is on the roof of a building, see the instructions for 'Stack Height'.</t>
  </si>
  <si>
    <t>For 'Vertical, Horizontal, or Fugitive', a drop-down list of options is available.  Select the appropriate option that describes the direction of the exhaust gas as it exits the stack.  If an emission unit does not have a stack, vent, or similar release point associated with it, select "Fugitive".  Doing this will format all other cells in that row (except emission unit # and description) with a cross-hatch pattern.</t>
  </si>
  <si>
    <t>gallons = gals                pounds = lbs</t>
  </si>
  <si>
    <r>
      <t>In Part C of this section, identify all rules that would appear to apply to your source (or to equipment located at your source), but that do not actually apply.  For example, if you own a 10,000 gallon petroleum storage vessel built in 1975, it would appear that 40 CFR Part 60 Subpart K "</t>
    </r>
    <r>
      <rPr>
        <b/>
        <i/>
        <sz val="11"/>
        <color theme="1"/>
        <rFont val="Calibri"/>
        <family val="2"/>
        <scheme val="minor"/>
      </rPr>
      <t>Standards of Performance for Storage Vessels for Petroleum Liquids for which Construction, Reconstruction, or Modification Commenced after June 11, 1973, and prior To May 19, 1978</t>
    </r>
    <r>
      <rPr>
        <b/>
        <sz val="11"/>
        <color theme="1"/>
        <rFont val="Calibri"/>
        <family val="2"/>
        <scheme val="minor"/>
      </rPr>
      <t>" applies to this storage tank.  However, the size of the tank is smaller than the 40,000 gallon applicability threshold set forth in the rule.  Therefore, you would cite the regulation as "40 CFR Part 60, Subpart K", and list the reason for non-applicability as "Tank capacity is less than 40,000 gallon threshold."  You do not need to include rules that clearly do not apply to any equipment or emission units located at your source in Part C.</t>
    </r>
  </si>
  <si>
    <t>Please indicate whether you are accepting throughput limits or emission control requirements for VOC-containing materials.  Emissions will be calculated in units of pounds.</t>
  </si>
  <si>
    <t>Please indicate whether you are accepting throughput limits or emission control requirements for HAP-containing materials.  Emissions will be calculated in units of pounds.</t>
  </si>
  <si>
    <t>Instructions for Section 6 - Table 6-A:  Source-Elected Throughput Limits and Emission Control Requirements</t>
  </si>
  <si>
    <t>Part A:  Operating Schedule</t>
  </si>
  <si>
    <t>Part A:  Company Information</t>
  </si>
  <si>
    <t>Part B:  General Facility Information</t>
  </si>
  <si>
    <t>Part C:  Contact Information</t>
  </si>
  <si>
    <t>Part D:  Permit Information</t>
  </si>
  <si>
    <t>Part E:  Responsible Official Certification</t>
  </si>
  <si>
    <t>Part A:  Compliance Status for Applicable Rules and Requirements</t>
  </si>
  <si>
    <r>
      <t xml:space="preserve">In Part B of this section, identify all federal air regulations that apply specifically to your source, </t>
    </r>
    <r>
      <rPr>
        <b/>
        <u/>
        <sz val="11"/>
        <color theme="1"/>
        <rFont val="Calibri"/>
        <family val="2"/>
        <scheme val="minor"/>
      </rPr>
      <t>including those rules with compliance dates set to take place after issuance of the permit</t>
    </r>
    <r>
      <rPr>
        <b/>
        <sz val="11"/>
        <color theme="1"/>
        <rFont val="Calibri"/>
        <family val="2"/>
        <scheme val="minor"/>
      </rPr>
      <t>.  Do not identify federal rules pertaining to permitting programs or enforcement.  In addition, if there are any regulations set forth under the LLCAPCPRS not identified in Part A that apply specifically to your source, provide a citation of the regulation and the name of the section the rule is found in.  For all rules identified in Part B, attach a brief description (1-2 paragraphs) detailing how your source will achieve and maintain compliance with the stated rule.  The description should include the types of parameters that are monitored, the types of records kept, the required reporting, and the test methods used (as applicable) to demonstrate compliance.</t>
    </r>
  </si>
  <si>
    <t xml:space="preserve">If your source is subject to any federal air regulations set forth under 40 CFR Parts 60, 61, 63, 64, 68, 82, or Parts 72-78, or to additional regulations set forth in the LLCAPCPRS not included in Part A, then in the spaces provided below, list all of those regulations that apply to your source.  For each regulation that applies to your source, list which emission unit(s) the rule applies to, and attach a brief explanation of how you intend to comply with the rule.  </t>
  </si>
  <si>
    <t>Reason(s) why source will not be in compliance.</t>
  </si>
  <si>
    <t>Will your source be in compliance with all applicable rules and requirements identified in Section 9 of this application, including those that with compliance dates set to take place during the term of the permit?</t>
  </si>
  <si>
    <t>Part B:  Applicable Rules and Requirements for Which Compliance Is Not Achieved or Will Not Be Achieved</t>
  </si>
  <si>
    <t>Parts B and C of this spreadsheet allow for multiple pages.  When printing, be sure to specify printing only of pages that contain data.</t>
  </si>
  <si>
    <t>End of Instructions.  Complete the form below.</t>
  </si>
  <si>
    <t>End of Instructions.  Complete the form below, if necessary.</t>
  </si>
  <si>
    <t>Applicable Requirement Name:</t>
  </si>
  <si>
    <t>Requirement Citation:</t>
  </si>
  <si>
    <t>Provide a narrative description of how compliance with this requirement will be achieved.</t>
  </si>
  <si>
    <t>Provide a detailed schedule for achieving compliance.</t>
  </si>
  <si>
    <t>Remedial Measures/Milestones</t>
  </si>
  <si>
    <t>Date Expected</t>
  </si>
  <si>
    <t>Part B of this spreadsheet allows for up to 15 rules.  If you require additional space, contact the Department.</t>
  </si>
  <si>
    <t>This spreadsheet allows for 5 pages.  When printing, be sure to specify printing only of pages that contain data.</t>
  </si>
  <si>
    <t>Be aware that the Department will require periodic reports of progress until compliance is acheived.  These reports will be required at least once every six (6) months following issuance of the permit, and may be required more frequently if the Department deems more frequent reporting necessary.</t>
  </si>
  <si>
    <t>I hereby certify that, based on information and belief formed after reasonable inquiry, the facility that emits air pollutants, which is identified in this application and that is subject to the applicable requirements identified in Section 9:</t>
  </si>
  <si>
    <t>1. Is in compliance with all applicable requirements, except as described in Section 9;</t>
  </si>
  <si>
    <t>Instructions for Section 3 - Table 3-A:  Emission Unit Identification</t>
  </si>
  <si>
    <t>Instructions for Section 4:  Insignificant Activities</t>
  </si>
  <si>
    <t>Instructions for Section 4 - Table 4-A:  Insignificant Activities List</t>
  </si>
  <si>
    <t>Instructions for Section 4 - Table 4-B:  Insignificant Lubricating &amp; Heavy Oil Storage Information</t>
  </si>
  <si>
    <t>Instructions for Section 4 - Table 4-C:  Insignificant Cooling Towers</t>
  </si>
  <si>
    <t>Part E:  Emission Calculations</t>
  </si>
  <si>
    <t xml:space="preserve">        AP-42 or WebFIRE Emission Factors</t>
  </si>
  <si>
    <t xml:space="preserve">        Seasonal</t>
  </si>
  <si>
    <t xml:space="preserve">        Year-Round</t>
  </si>
  <si>
    <t>Indicate how material and/or fuel use will be substantiated:</t>
  </si>
  <si>
    <r>
      <t xml:space="preserve">Indicate which method(s) will be used to calculate emissions: </t>
    </r>
    <r>
      <rPr>
        <sz val="11"/>
        <color theme="1"/>
        <rFont val="Arial"/>
        <family val="2"/>
      </rPr>
      <t>(check all that apply)</t>
    </r>
  </si>
  <si>
    <r>
      <t xml:space="preserve">        Other </t>
    </r>
    <r>
      <rPr>
        <sz val="11"/>
        <color theme="1"/>
        <rFont val="Calibri"/>
        <family val="2"/>
        <scheme val="minor"/>
      </rPr>
      <t>(specify &gt;&gt;&gt;&gt;)</t>
    </r>
  </si>
  <si>
    <t xml:space="preserve">        Material / Fuel Use Logbook(s)</t>
  </si>
  <si>
    <t xml:space="preserve">        Material / Fuel Supplier Record(s)</t>
  </si>
  <si>
    <t xml:space="preserve">        Receiving / Load-Out Scale Tickets</t>
  </si>
  <si>
    <t>&lt;&lt;&lt; TRUE IF PART A IS COMPLETE</t>
  </si>
  <si>
    <t>&lt;&lt;&lt; TRUE IF PARTS A THROUGH D ARE COMPLETE</t>
  </si>
  <si>
    <t>&lt;&lt;&lt;TRUE if Part A is complete</t>
  </si>
  <si>
    <t>&lt;&lt;&lt;TRUE if Facility Contact is complete</t>
  </si>
  <si>
    <t>&lt;&lt;&lt;TRUE if Application Contact is complete</t>
  </si>
  <si>
    <t>&lt;&lt;&lt;TRUE if Parts A &amp; B are complete</t>
  </si>
  <si>
    <t>&lt;&lt;&lt;TRUE if Parts A, B, &amp; C are complete</t>
  </si>
  <si>
    <t>&lt;&lt;&lt;TRUE if permit boxes correctly checked</t>
  </si>
  <si>
    <t>&lt;&lt;&lt;TRUE if current op permit data complete</t>
  </si>
  <si>
    <t>&lt;&lt;&lt;TRUE if construction permit data complete</t>
  </si>
  <si>
    <t>&lt;&lt;&lt;TRUE if permit application boxes checked</t>
  </si>
  <si>
    <t>&lt;&lt;&lt;TRUE if Parts A, B, C, and D complete</t>
  </si>
  <si>
    <t>&lt;&lt;&lt;TRUE if Compliance Certification complete</t>
  </si>
  <si>
    <t>&lt;&lt;&lt;TRUE if Truth &amp; Accuracy Cert complete</t>
  </si>
  <si>
    <t>&lt;&lt;&lt;TRUE if Electronic Copy Cert complete</t>
  </si>
  <si>
    <t>&lt;&lt;&lt;TRUE if Citizenship Attestation complete</t>
  </si>
  <si>
    <t>^</t>
  </si>
  <si>
    <t>If unknown or unavailable, enter "Unknown".</t>
  </si>
  <si>
    <t>APPLICATION COMPLETENESS CHECKLIST</t>
  </si>
  <si>
    <t>Instructions for Application Completeness Checklist</t>
  </si>
  <si>
    <t>Separate instructions are provided for individual sections in this application package.</t>
  </si>
  <si>
    <t>We regularly update our application forms, so please check the LLCHD website frequently for the latest application forms.</t>
  </si>
  <si>
    <t>Section Number &amp; Name</t>
  </si>
  <si>
    <t>Included With Application?</t>
  </si>
  <si>
    <t>If not included, provide reason.</t>
  </si>
  <si>
    <r>
      <t>Table 4-B:</t>
    </r>
    <r>
      <rPr>
        <b/>
        <sz val="11"/>
        <color indexed="8"/>
        <rFont val="Arial"/>
        <family val="2"/>
      </rPr>
      <t xml:space="preserve">  Insignificant Lubricating and Heavy Oil Storage Information</t>
    </r>
  </si>
  <si>
    <r>
      <t>Table 4-C:</t>
    </r>
    <r>
      <rPr>
        <b/>
        <sz val="11"/>
        <color indexed="8"/>
        <rFont val="Arial"/>
        <family val="2"/>
      </rPr>
      <t xml:space="preserve">  Insignificant Cooling Towers</t>
    </r>
  </si>
  <si>
    <t>Hyperlinks to each section / table provided below.</t>
  </si>
  <si>
    <t>Does this application contain confidential information?</t>
  </si>
  <si>
    <t>If "Yes" are application pages containing confidential data clearly marked?</t>
  </si>
  <si>
    <t>Nebraska</t>
  </si>
  <si>
    <t xml:space="preserve">                      Agree</t>
  </si>
  <si>
    <t xml:space="preserve">                      Disagree</t>
  </si>
  <si>
    <t xml:space="preserve">                      Not Applicable</t>
  </si>
  <si>
    <t>Citizenship Attestation</t>
  </si>
  <si>
    <t xml:space="preserve">          Yes</t>
  </si>
  <si>
    <t xml:space="preserve">          No</t>
  </si>
  <si>
    <t xml:space="preserve">          Facility Contact Person</t>
  </si>
  <si>
    <t xml:space="preserve">          Other</t>
  </si>
  <si>
    <r>
      <t xml:space="preserve">For the purpose of complying with Neb. Rev. Stat. </t>
    </r>
    <r>
      <rPr>
        <sz val="11"/>
        <color theme="1"/>
        <rFont val="Calibri"/>
        <family val="2"/>
      </rPr>
      <t>§§</t>
    </r>
    <r>
      <rPr>
        <sz val="11"/>
        <color theme="1"/>
        <rFont val="Arial"/>
        <family val="2"/>
      </rPr>
      <t xml:space="preserve">4-108 through 4-114, I attest as follows </t>
    </r>
    <r>
      <rPr>
        <i/>
        <sz val="11"/>
        <color theme="1"/>
        <rFont val="Arial"/>
        <family val="2"/>
      </rPr>
      <t>(</t>
    </r>
    <r>
      <rPr>
        <i/>
        <u/>
        <sz val="11"/>
        <color theme="1"/>
        <rFont val="Arial"/>
        <family val="2"/>
      </rPr>
      <t>check one</t>
    </r>
    <r>
      <rPr>
        <i/>
        <sz val="11"/>
        <color theme="1"/>
        <rFont val="Arial"/>
        <family val="2"/>
      </rPr>
      <t>)</t>
    </r>
    <r>
      <rPr>
        <sz val="11"/>
        <color theme="1"/>
        <rFont val="Arial"/>
        <family val="2"/>
      </rPr>
      <t xml:space="preserve">:
      </t>
    </r>
    <r>
      <rPr>
        <b/>
        <sz val="11"/>
        <color theme="1"/>
        <rFont val="Calibri"/>
        <family val="2"/>
        <scheme val="minor"/>
      </rPr>
      <t xml:space="preserve">I am a citizen of the United States.
            </t>
    </r>
    <r>
      <rPr>
        <sz val="11"/>
        <color theme="1"/>
        <rFont val="Calibri"/>
        <family val="2"/>
        <scheme val="minor"/>
      </rPr>
      <t xml:space="preserve">OR
        </t>
    </r>
    <r>
      <rPr>
        <b/>
        <sz val="11"/>
        <color theme="1"/>
        <rFont val="Calibri"/>
        <family val="2"/>
        <scheme val="minor"/>
      </rPr>
      <t>I am a qualified alien under the federal Immigration and Nationality Act, and will 
        provide my immigration status, alien number, and USCIS documentation upon request.</t>
    </r>
    <r>
      <rPr>
        <b/>
        <sz val="8"/>
        <color theme="1"/>
        <rFont val="Calibri"/>
        <family val="2"/>
        <scheme val="minor"/>
      </rPr>
      <t xml:space="preserve">
</t>
    </r>
    <r>
      <rPr>
        <sz val="11"/>
        <color theme="1"/>
        <rFont val="Arial"/>
        <family val="2"/>
      </rPr>
      <t>I hereby attest that my responses and the information provided on this form and any related application for public benefits are true, complete, and accurate, and I understand that this information may be used to verify my lawful presence in the United States.</t>
    </r>
  </si>
  <si>
    <t xml:space="preserve">       No</t>
  </si>
  <si>
    <t xml:space="preserve">       Yes</t>
  </si>
  <si>
    <r>
      <t>Maximum Circulating H</t>
    </r>
    <r>
      <rPr>
        <b/>
        <vertAlign val="subscript"/>
        <sz val="10"/>
        <color theme="1"/>
        <rFont val="Arial"/>
        <family val="2"/>
      </rPr>
      <t>2</t>
    </r>
    <r>
      <rPr>
        <b/>
        <sz val="10"/>
        <color theme="1"/>
        <rFont val="Arial"/>
        <family val="2"/>
      </rPr>
      <t>O Flow Rate (gpm)</t>
    </r>
  </si>
  <si>
    <t xml:space="preserve">       Yes
       No</t>
  </si>
  <si>
    <r>
      <t xml:space="preserve">                           Yes</t>
    </r>
    <r>
      <rPr>
        <b/>
        <sz val="5"/>
        <color theme="1"/>
        <rFont val="Calibri"/>
        <family val="2"/>
        <scheme val="minor"/>
      </rPr>
      <t xml:space="preserve">
</t>
    </r>
    <r>
      <rPr>
        <b/>
        <sz val="11"/>
        <color theme="1"/>
        <rFont val="Calibri"/>
        <family val="2"/>
        <scheme val="minor"/>
      </rPr>
      <t xml:space="preserve">                           No</t>
    </r>
  </si>
  <si>
    <t xml:space="preserve">        Yes
        No</t>
  </si>
  <si>
    <r>
      <t xml:space="preserve">For 'Stack Height', provide the distance from </t>
    </r>
    <r>
      <rPr>
        <b/>
        <u/>
        <sz val="11"/>
        <color theme="1"/>
        <rFont val="Calibri"/>
        <family val="2"/>
        <scheme val="minor"/>
      </rPr>
      <t>ground level to the top of the stack</t>
    </r>
    <r>
      <rPr>
        <b/>
        <sz val="11"/>
        <color theme="1"/>
        <rFont val="Calibri"/>
        <family val="2"/>
        <scheme val="minor"/>
      </rPr>
      <t>.  For stacks, vents, or release points on the roof of a building, add the height of the building to the stack height.</t>
    </r>
  </si>
  <si>
    <t>feet long</t>
  </si>
  <si>
    <t>degrees Celsius (°C)</t>
  </si>
  <si>
    <t>All emission units that are subject to a NSPS, NESHAP, and/or construction permit requirements are not insignificant activities. This includes all types of emissions units listed in this document. For those units subject to a NSPS, NESHAP, and/or construction permit requirements, you must assign an emission unit identification number, complete the appropriate emission unit application forms, and calculate and submit emissions as part of the Annual Emission Inventory Report to the LLCHD.</t>
  </si>
  <si>
    <r>
      <t xml:space="preserve">Any existing, new, or reconstructed stationary reciprocating internal combustion engine (RICE) located at a major or area source of hazardous air pollutant emissions, excluding stationary RICE being tested at a stationary RICE test cell/stand, is an affected source under the National Emission Standards for Hazardous Air Pollutants Maximum Achievable Control Technology (NESHAP MACT) requirements set forth under 40 CFR 63 Subpart ZZZZ.  </t>
    </r>
    <r>
      <rPr>
        <b/>
        <u/>
        <sz val="11"/>
        <color theme="1"/>
        <rFont val="Calibri"/>
        <family val="2"/>
        <scheme val="minor"/>
      </rPr>
      <t>Please note that any RICE subject to this NESHAP MACT subpart, whether or not it has applicable requirements, cannot be an insignificant activity.</t>
    </r>
  </si>
  <si>
    <t>CLICK HERE FOR EPA'S LIST OF HAZARDOUS AIR POLLUTANTS (HAP).</t>
  </si>
  <si>
    <t>For 'Release Factor', enter the amount of VOC that is actually emitted into the atmosphere as a result of material use.  For most materials, this will be 100% unless you have supporting data that shows a lower release factor.</t>
  </si>
  <si>
    <t xml:space="preserve">If you answered "Yes" in Column G, then the corresponding cell in Column H will be highlighted in yellow.  Here you must identify the control device/method associated with that emission unit.  Please use a description that will allow you to clearly identify the control device/method. </t>
  </si>
  <si>
    <t xml:space="preserve">Please note that many sheets have up to 300 rows. Please either print only the required number of pages or set the 'Print Area' on each sheet by going to the 'Page Layout' tab at the top, click 'Print Area' then 'Set Print Area'. You will then be able to drag a blue box around the cells you will to print. </t>
  </si>
  <si>
    <t xml:space="preserve">       Initial Construction Permit</t>
  </si>
  <si>
    <t xml:space="preserve">       PSD Construction Permit</t>
  </si>
  <si>
    <t>I certify under penalty of law that, based on information and belief formed after reasonable inquiry, the statements and information contained in this Air Quality Construction Permit application are true, complete, and accurate.  I certify that all hard copies of this application are identical in content.</t>
  </si>
  <si>
    <t>I certify under penalty of law that, based on information and belief formed after reasonable inquiry, the statements and information contained in the electronic copy of the Air Quality Construction Permit application are identical in content to the hard copy submittal.</t>
  </si>
  <si>
    <t>Part B:  New Process Description</t>
  </si>
  <si>
    <t>On separate sheet(s) of paper, provide a detailed narrative description of the process or equipmen you are planning to construct/reconstruct/modify. Explain the stages in each process that may result in the discharge of an air pollutant. Include all emission points, emission units, pollution control equipment, and identification numbers. The narrative should complement the facility layout and process flow diagrams.</t>
  </si>
  <si>
    <t>Part C:  Process Layout Diagram</t>
  </si>
  <si>
    <t>On a separate sheet(s) of paper, provide a detailed diagram or drawing that includes all processes and/or equipment identified in this application. Make sure all elements in the drawing are properly identified, drawn to scale, and consistent with other sections of this application. The diagram should show the location of all new/modified buildings, structures, stacks, and property boundaries. Fences or other public access restrictions should be shown or identified and described. Be sure to identify adjacent roads and include a north arrow.  Include an effective date for the diagram.</t>
  </si>
  <si>
    <t>Part D:  Facility Description</t>
  </si>
  <si>
    <t>On separate sheet(s) of paper, provide a brief narrative description of the facility. Explain the stages in each process that may result in the discharge of an air pollutant. Include all emission points, emission units, pollution control equipment, and identification numbers. The narrative should complement the facility layout and process flow diagrams.</t>
  </si>
  <si>
    <t xml:space="preserve">Is a New Process Description attached to your application? </t>
  </si>
  <si>
    <t xml:space="preserve">Is a Process Layout Diagram included with your application? </t>
  </si>
  <si>
    <t xml:space="preserve">Is a Facility Description included with your application? </t>
  </si>
  <si>
    <t>SECTION 3  –  EMISSION UNIT SUMMARY</t>
  </si>
  <si>
    <t>Table 3-B:  New/Modified/Reconstructed Stack / Release Point Information</t>
  </si>
  <si>
    <t>PM</t>
  </si>
  <si>
    <t>Criteria Air Pollutants</t>
  </si>
  <si>
    <t>Hazardous Air Pollutants</t>
  </si>
  <si>
    <t xml:space="preserve">Table 5-D does not require any user inputs.  This table serves to compare your facility's maximum potential to emit (MPTE) to the construction permit thresholds established in the LLCAPCPRS.  </t>
  </si>
  <si>
    <t>Additionally, if your source is a major source for PSD purposes, and the MPTE meets or exceeds any of the PSD permit thresholds, your source will be required to obtain a PSD construction permit unless you accept enforceable requirements in your  permit to limit emissions to levels that are below PSD construction permit thresholds.</t>
  </si>
  <si>
    <t>If you require a construction permit (either PSD or non-PSD), complete and submit the remainder of this application.</t>
  </si>
  <si>
    <t>Part C:  Toxic 'Best Available Control Technology' (T-BACT) Determination</t>
  </si>
  <si>
    <t>Avoid T-BACT</t>
  </si>
  <si>
    <t>Not Avoid T-BACT</t>
  </si>
  <si>
    <t>Part D:  Toxic 'Maximum Achievable Control Technology' (MACT) Determination</t>
  </si>
  <si>
    <t>Part E:  Source Elected Requirements for Actual Emission Reductions</t>
  </si>
  <si>
    <t>Emission
Unit #</t>
  </si>
  <si>
    <r>
      <rPr>
        <b/>
        <sz val="11"/>
        <color indexed="12"/>
        <rFont val="Arial"/>
        <family val="2"/>
      </rPr>
      <t>GHGs</t>
    </r>
    <r>
      <rPr>
        <sz val="11"/>
        <color indexed="12"/>
        <rFont val="Arial"/>
        <family val="2"/>
      </rPr>
      <t xml:space="preserve">
(see note)</t>
    </r>
  </si>
  <si>
    <t>Individual
HAP</t>
  </si>
  <si>
    <t>Instructions for Section 6 - Table 6-B:  Source-Elected Emission Limits</t>
  </si>
  <si>
    <t xml:space="preserve">         Yes</t>
  </si>
  <si>
    <t xml:space="preserve">         No</t>
  </si>
  <si>
    <t>Agree to emission limit?</t>
  </si>
  <si>
    <t>Agreed to throughput limits or controls?</t>
  </si>
  <si>
    <t>For each emission unit that you agree to limit, be sure to enter either a limit or a zero for every pollutant.  Failure to do so will result in un-completed cells appearing yellow.</t>
  </si>
  <si>
    <t>Next, you are given the opportunity to take an emission 'cap' for this specific project.  Doing so may allow you to avoid requirements such as 'Best Available Control Technology' for Hazardous Air Pollutants, or avoid requirements to conduct pre-construction modeling.  If you wish to take a project-specific limit for any pollutants, click the drop-down and select "Yes".  If not, select "No".   If you select "Yes", you will be prompted to enter the desired emission limit in units of pounds.</t>
  </si>
  <si>
    <r>
      <t xml:space="preserve">Prior to Table 6-B, you are given the opportunity to take an emission 'cap' for the entire facility.  Doing so may allow you to avoid major source designations for the purposes of Title V permitting, PSD permitting, or for Hazardous Air Pollutants.  If you wish to take a major source-avoidance limit for any pollutants, click the drop-down and select "Yes".  If not, select "No".   If you select "Yes", you will be prompted to enter the desired emission limit in units of </t>
    </r>
    <r>
      <rPr>
        <b/>
        <u/>
        <sz val="11"/>
        <rFont val="Calibri"/>
        <family val="2"/>
        <scheme val="minor"/>
      </rPr>
      <t>pounds</t>
    </r>
    <r>
      <rPr>
        <b/>
        <sz val="11"/>
        <rFont val="Calibri"/>
        <family val="2"/>
        <scheme val="minor"/>
      </rPr>
      <t>.</t>
    </r>
  </si>
  <si>
    <t>Proceeding to Table 6-B, if you wish to agree to a pollutant-specific emission limit for a particular emission unit, click the drop-down and select "Yes".  If you do not wish to agree to any emission limits for that emission unit, select "No".</t>
  </si>
  <si>
    <t>Enter the pollutant-specific emission limit(s) you wish to agree to for each emission unit.  If you only wish to agree to a limit for one pollutant, and do not wish to limit the emissions of other pollutants for a given emission unit, then for those pollutants you do not wish to limit, enter a zero (0).  Zeros will appear as a dash (-).</t>
  </si>
  <si>
    <t>As seen in the example table below, the emission unit numbers and SCC codes entered on Table 3-A, as well as the responses provided in Table 6-A, have been automatically imported into Table 6-B.  In each row than contains an emission unit, the cell under "Agree to emission limit?" is highlighted in yellow, indicating a required entry.  The following items will offer a further explanation of what is requested in each column.</t>
  </si>
  <si>
    <t>If you meet or exceed any of the construction permit thresholds, your source may be required to obtain a construction permit.  If you do not meet or exceed the construction permit thresholds, your source does not require a construction permit.  Complete Section 6 of this application.  If your source will not require a construction permit, print and submit Sections 1 through 6 of this  permit application as evidence that your source does not require a construction permit.</t>
  </si>
  <si>
    <t>Instructions for Section 8:  Applicable Rules and Requirements</t>
  </si>
  <si>
    <t>SECTION 8:  APPLICABLE RULES AND REQUIREMENTS</t>
  </si>
  <si>
    <t>Instructions for Section 9:  Compliance Plan</t>
  </si>
  <si>
    <t>SECTION 9:  COMPLIANCE PLAN</t>
  </si>
  <si>
    <t>In the form below, indicate whether your source will be in compliance with all applicable rules and regulations identified in Section 8.  If there are regulations that your source will not be in compliance with, either at the time that the permit is issued, or when the compliance date of the regulation is reached, then indicate which rules the source will be out of compliance with, and describe why compliance cannot or will not be acheived.</t>
  </si>
  <si>
    <t>For those rules that your source will not be in compliance with, complete one of the provided forms in the worksheet labeled Table 9-A - Compliance Schedule.</t>
  </si>
  <si>
    <t>When you have completed Parts A, B, and Table 9-A (if necessary) continue to the "Application Checklist".</t>
  </si>
  <si>
    <t>Instructions for Table 9-A:  Compliance Schedule</t>
  </si>
  <si>
    <t xml:space="preserve">The regulations you indicated your source would not be in compliance with, as indicated in the Section 9 form, have been automatically imported into this form.  For each rule that your source will not be in compliance with, provide a narrative description of how compliance with the requirement will be acheived, and provide a detailed schedule of how your source will acheive compliance.  </t>
  </si>
  <si>
    <t>TABLE 9-A:  COMPLIANCE SCHEDULE</t>
  </si>
  <si>
    <t>Will your source require a PSD construction permit?</t>
  </si>
  <si>
    <r>
      <t xml:space="preserve">All applications must include this completeness checklist.  </t>
    </r>
    <r>
      <rPr>
        <b/>
        <u/>
        <sz val="11"/>
        <rFont val="Calibri"/>
        <family val="2"/>
        <scheme val="minor"/>
      </rPr>
      <t>On the form provided below, please indicate which application forms and sections are included with your Air Quality Construction Permit Application packet.</t>
    </r>
    <r>
      <rPr>
        <b/>
        <sz val="11"/>
        <rFont val="Calibri"/>
        <family val="2"/>
        <scheme val="minor"/>
      </rPr>
      <t xml:space="preserve">  The LLCHD recommends including a cover letter identifying additional attachments and supplemental information.</t>
    </r>
  </si>
  <si>
    <t>All applications must include a completeness checklist.  The following are general instructions for the completion and submittal of an Air Quality Construction Permit Application. These instructions do not cover the individual Sections in this Application.</t>
  </si>
  <si>
    <t>Applications are incomplete unless all information requested herein is supplied.  Failure to supply any additional information requested by the Department to enable it to act on the application may result in denial of a construction permit.  Enclosed forms may be copied as needed.</t>
  </si>
  <si>
    <t>Largest HAP Calculation Array</t>
  </si>
  <si>
    <t>Information entered in this sheet will be used to populate cells in other tables in this application.</t>
  </si>
  <si>
    <r>
      <t xml:space="preserve">In Table 4-A, below, you must list all insignificant activities at your facility, except for those included in items </t>
    </r>
    <r>
      <rPr>
        <b/>
        <u/>
        <sz val="11"/>
        <color theme="1"/>
        <rFont val="Calibri"/>
        <family val="2"/>
        <scheme val="minor"/>
      </rPr>
      <t>A.1 through A.42</t>
    </r>
    <r>
      <rPr>
        <b/>
        <sz val="11"/>
        <color theme="1"/>
        <rFont val="Calibri"/>
        <family val="2"/>
        <scheme val="minor"/>
      </rPr>
      <t xml:space="preserve"> in the 'Instructions for Section 4'. </t>
    </r>
  </si>
  <si>
    <t>For stationary external combustion units, include the heat input rating, the type of fuel (or fuels) burned, and the average annual days in service.</t>
  </si>
  <si>
    <t xml:space="preserve">In Table 4-B below, provide the requested information for lubricating and heavy oil storage vessels. </t>
  </si>
  <si>
    <t xml:space="preserve">In Table 4-C below, provide the requested information for wet cooling towers. </t>
  </si>
  <si>
    <t>If you elect to take emission limits on VOC or HAP in Section 6 of this application, lubricating and heavy oil storage cannot be considered an insignificant activity.  If you accept a VOC or HAP emission limit, or accept throughput limits or control requirements to reduce VOC/HAP emissions below an applicable threshold, you will need to remove the equipment from this table and add the equipment as emission units in Table 3-A of this application.</t>
  </si>
  <si>
    <r>
      <t>If you elect to accept limits on emissions of PM or  PM</t>
    </r>
    <r>
      <rPr>
        <b/>
        <vertAlign val="subscript"/>
        <sz val="11"/>
        <color theme="1"/>
        <rFont val="Calibri"/>
        <family val="2"/>
        <scheme val="minor"/>
      </rPr>
      <t>10</t>
    </r>
    <r>
      <rPr>
        <b/>
        <sz val="11"/>
        <color theme="1"/>
        <rFont val="Calibri"/>
        <family val="2"/>
        <scheme val="minor"/>
      </rPr>
      <t xml:space="preserve"> in Section 6 of this application, cooling towers cannot be considered insignificant activities.  If you accept a PM or PM</t>
    </r>
    <r>
      <rPr>
        <b/>
        <vertAlign val="subscript"/>
        <sz val="11"/>
        <color theme="1"/>
        <rFont val="Calibri"/>
        <family val="2"/>
        <scheme val="minor"/>
      </rPr>
      <t>10</t>
    </r>
    <r>
      <rPr>
        <b/>
        <sz val="11"/>
        <color theme="1"/>
        <rFont val="Calibri"/>
        <family val="2"/>
        <scheme val="minor"/>
      </rPr>
      <t xml:space="preserve"> emission limit, or accept a throughput limit or control requirements to reduce PM or PM</t>
    </r>
    <r>
      <rPr>
        <b/>
        <vertAlign val="subscript"/>
        <sz val="11"/>
        <color theme="1"/>
        <rFont val="Calibri"/>
        <family val="2"/>
        <scheme val="minor"/>
      </rPr>
      <t>10</t>
    </r>
    <r>
      <rPr>
        <b/>
        <sz val="11"/>
        <color theme="1"/>
        <rFont val="Calibri"/>
        <family val="2"/>
        <scheme val="minor"/>
      </rPr>
      <t xml:space="preserve"> emissions below an applicable threshold, you will need to remove the cooling towers from this table and add them to Table 3-A of this application.</t>
    </r>
  </si>
  <si>
    <t>B.  Conditionally Insignificant Equipment/Activities</t>
  </si>
  <si>
    <t>Fire suppression systems, excluding Reciprocating Interal Combustion Engines (RICE) emergency pumps at a fixed site.</t>
  </si>
  <si>
    <t>C.  Insignificant Equipment/Activities</t>
  </si>
  <si>
    <t>The Department has determined that the following insignificant activities must be included in the Section 4 of this application.  The emissions associated with the following activities do not need to be included in Section 5 of this application, nor in the Annual Emissions Inventory reports unless the emissions data is requested by LLCHD.</t>
  </si>
  <si>
    <r>
      <t xml:space="preserve">Process cooling towers with a circulating water flow rate less than 2,000 gallons per minute.  In Table 4-C, include the circulating water flow rate, total dissolved solids concentration, estimated drift loss, and average annual days in service.  </t>
    </r>
    <r>
      <rPr>
        <b/>
        <u/>
        <sz val="11"/>
        <color theme="1"/>
        <rFont val="Calibri"/>
        <family val="2"/>
        <scheme val="minor"/>
      </rPr>
      <t/>
    </r>
  </si>
  <si>
    <t>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</si>
  <si>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r>
      <t xml:space="preserve">Fuel storage and distribution equipment, including storage vessels (tanks) with aggregate annual throughput of less than 1 million gallons for the entire facility.  Records verifying aggregate annual fuel throughput must be maintained for 5 years and made available to LLCHD or U.S. EPA within 48 hours of a request for documentation of annual throughput.
</t>
    </r>
    <r>
      <rPr>
        <b/>
        <u/>
        <sz val="11"/>
        <color theme="1"/>
        <rFont val="Calibri"/>
        <family val="2"/>
        <scheme val="minor"/>
      </rPr>
      <t>Please note that gasoline storage tanks at area sources of HAPs cannot be considered insignificant activities, as these tanks are subject to NESHAP Subpart CCCCCC (§63.11111).  These tanks must be included as emission units in Section 3.</t>
    </r>
  </si>
  <si>
    <t>Comfort cooling towers.</t>
  </si>
  <si>
    <t xml:space="preserve">Storage and handling of lubricating and heavy oils with a vapor pressure less than 0.5 pounds per square inch (psi) under standard conditions, when held for source use only. </t>
  </si>
  <si>
    <r>
      <t xml:space="preserve">The following activities are considered insignificant for all Class I and Class II sources, and </t>
    </r>
    <r>
      <rPr>
        <b/>
        <u/>
        <sz val="11"/>
        <color theme="1"/>
        <rFont val="Calibri"/>
        <family val="2"/>
        <scheme val="minor"/>
      </rPr>
      <t>are exempt from inclusion</t>
    </r>
    <r>
      <rPr>
        <b/>
        <sz val="11"/>
        <color theme="1"/>
        <rFont val="Calibri"/>
        <family val="2"/>
        <scheme val="minor"/>
      </rPr>
      <t xml:space="preserve"> in Tables 4-A, 4-B, or 4-C.  Emissions from these activities are exempt from inclusion in the annual emission inventory report.</t>
    </r>
  </si>
  <si>
    <t>The Department has determined that the following activities are conditionally exempt from inclusion in the Construction Permit Application and Annual Emissions Inventory Reports. The following activities are exempt from inclusion in the Construction Permit Application and the Annual Emissions Inventory unless the activity emits a pollutant(s) subject to an emissions limitation elected herein. If the activity emits a pollutant subject to a emissions limitation agreed to in this application, the activity must be included in the Construction Permit Application on the appropriate emission unit form and in the Annual Emissions Inventory Report.</t>
  </si>
  <si>
    <t>Many boilers are now subject to requirements under the NESHAP MACT requirements set forth under 40 CFR Part 63 Subparts DDDDD and JJJJJJ.  All boilers and process heaters at 'major sources' of Hazardous Air Pollutants (HAPs) are subject to Subpart DDDDD, and must be included as an emission unit in Section 3.</t>
  </si>
  <si>
    <r>
      <t xml:space="preserve">Boilers at 'area sources' of HAPs that meet the definition of a "gas-fired boiler" set forth in Subpart JJJJJJ </t>
    </r>
    <r>
      <rPr>
        <b/>
        <u/>
        <sz val="11"/>
        <color theme="1"/>
        <rFont val="Calibri"/>
        <family val="2"/>
        <scheme val="minor"/>
      </rPr>
      <t>are not subject</t>
    </r>
    <r>
      <rPr>
        <b/>
        <sz val="11"/>
        <color theme="1"/>
        <rFont val="Calibri"/>
        <family val="2"/>
        <scheme val="minor"/>
      </rPr>
      <t xml:space="preserve"> to Subpart JJJJJJ.  In addition, process heaters at 'area sources' of HAPs </t>
    </r>
    <r>
      <rPr>
        <b/>
        <u/>
        <sz val="11"/>
        <color theme="1"/>
        <rFont val="Calibri"/>
        <family val="2"/>
        <scheme val="minor"/>
      </rPr>
      <t>are not subject</t>
    </r>
    <r>
      <rPr>
        <b/>
        <sz val="11"/>
        <color theme="1"/>
        <rFont val="Calibri"/>
        <family val="2"/>
        <scheme val="minor"/>
      </rPr>
      <t xml:space="preserve"> to Subpart JJJJJJ.  As such, any boilers meeting this definition that are lower than the applicable heat-input thresholds in Parts B, C, and D of these instructions may be considered insignificant activities. However, if you accept a NOx, SOx, or CO emission limit, or accept throughput limits or control requirements to reduce NOx/SOx/CO emissions below an applicable threshold, you will need to include new boilers as emission units in Table 3-A of this application.  Part B of these instructions provides additional detail about which boilers can be considered insignificant.   </t>
    </r>
    <r>
      <rPr>
        <b/>
        <u/>
        <sz val="11"/>
        <color theme="1"/>
        <rFont val="Calibri"/>
        <family val="2"/>
        <scheme val="minor"/>
      </rPr>
      <t>When listing boilers as insignificant activities on Table 4-A, the applicant must indicate whether the boiler has the ability to operate on a liquid or solid fuel as a back-up.</t>
    </r>
  </si>
  <si>
    <r>
      <t xml:space="preserve">Stationary internal combustion turbines at </t>
    </r>
    <r>
      <rPr>
        <b/>
        <u/>
        <sz val="11"/>
        <color theme="1"/>
        <rFont val="Calibri"/>
        <family val="2"/>
        <scheme val="minor"/>
      </rPr>
      <t>area sources of HAPs,</t>
    </r>
    <r>
      <rPr>
        <b/>
        <sz val="11"/>
        <color theme="1"/>
        <rFont val="Calibri"/>
        <family val="2"/>
        <scheme val="minor"/>
      </rPr>
      <t xml:space="preserve"> provided the following also apply:
  - Your source is not accepting any emission limits or fuel use limits to reduce emissions of NOx, SOx, or CO;
  - The turbine(s) </t>
    </r>
    <r>
      <rPr>
        <b/>
        <u/>
        <sz val="11"/>
        <color theme="1"/>
        <rFont val="Calibri"/>
        <family val="2"/>
        <scheme val="minor"/>
      </rPr>
      <t>is not</t>
    </r>
    <r>
      <rPr>
        <b/>
        <sz val="11"/>
        <color theme="1"/>
        <rFont val="Calibri"/>
        <family val="2"/>
        <scheme val="minor"/>
      </rPr>
      <t xml:space="preserve"> subject to a NSPS or NESHAP;
  - Only natural gas is used as a fuel source; and
  - Rating must be below 1,630 horsepower. 
In the Description column of Table 4-A, please include the size of the unit, the fuel used, and average hours or days of service.</t>
    </r>
  </si>
  <si>
    <r>
      <t xml:space="preserve">Stationary external combustion units using the listed fuel type and rated below the corresponding heat input rating are insignificant, unless one of the following statements applies to your facility:
  - Your source is accepting emission limits or fuel use limits to reduce emissions of NOx, SOx, or CO as a part of this application; or
  - Your source is currently a major source of HAPs.
</t>
    </r>
    <r>
      <rPr>
        <b/>
        <u/>
        <sz val="11"/>
        <color theme="1"/>
        <rFont val="Calibri"/>
        <family val="2"/>
        <scheme val="minor"/>
      </rPr>
      <t>Units producing heat (including steam heat) for processing are not considered insignificant activities.</t>
    </r>
    <r>
      <rPr>
        <b/>
        <sz val="11"/>
        <color theme="1"/>
        <rFont val="Calibri"/>
        <family val="2"/>
        <scheme val="minor"/>
      </rPr>
      <t xml:space="preserve">  In the Description column of Table 4-A, include heat input rating of the unit, fuel(s) fired, and average hours or days of service per year.  </t>
    </r>
    <r>
      <rPr>
        <b/>
        <u/>
        <sz val="11"/>
        <color theme="1"/>
        <rFont val="Calibri"/>
        <family val="2"/>
        <scheme val="minor"/>
      </rPr>
      <t>If you are accepting limits to reduce NOx, SOx, or CO, you must include all stationary external combustion units in the emission unit list in Table 3-A, and must also report emissions with the annual emission inventory report.</t>
    </r>
  </si>
  <si>
    <t>Insignificant activities are those activities and/or emission units that may be excluded from a construction permit application or, if included, listed in the application with a limited amount of support information.</t>
  </si>
  <si>
    <t>Emission Unit #(s)</t>
  </si>
  <si>
    <t>For 'Emission Unit #(s) (Column C), enter the number of the emission unit (or units) with which the material used is associated.  For example, if you utilize the same adhesive in emission units 3-2, and 5-1, then simply enter, "3-2, 5-1" as shown below.</t>
  </si>
  <si>
    <t>For 'Material Purpose' (Column D), provide a 1-word description of what the material used for, (e.g. adhesive, cleaner, stripper, lubricant, etc.)</t>
  </si>
  <si>
    <t>For 'Material Throughput' (Column E), enter the maximum annual throughput (in gallons) of the material at your source.  If you keep records of material use for certain materials in units other than gallons, use the appropriate Conversion Tool below to convert throughput to gallons.</t>
  </si>
  <si>
    <t>AP-42</t>
  </si>
  <si>
    <t>WebFire</t>
  </si>
  <si>
    <t>Stack Test</t>
  </si>
  <si>
    <t>Mass Balance</t>
  </si>
  <si>
    <t>Emission Factor Source</t>
  </si>
  <si>
    <t>WebFIRE</t>
  </si>
  <si>
    <r>
      <t xml:space="preserve">For 'Material Throughput' (Column E), enter the maximum annual throughput either in gallons, or in pounds.  </t>
    </r>
    <r>
      <rPr>
        <b/>
        <u/>
        <sz val="11"/>
        <rFont val="Calibri"/>
        <family val="2"/>
        <scheme val="minor"/>
      </rPr>
      <t>Only enter material throughput ONCE for each material.</t>
    </r>
    <r>
      <rPr>
        <b/>
        <sz val="11"/>
        <rFont val="Calibri"/>
        <family val="2"/>
        <scheme val="minor"/>
      </rPr>
      <t xml:space="preserve">  If you keep records of material use for certain materials in units other than gallons or pounds, use the appropriate Conversion Tool below to convert throughput to the appropriate unit.</t>
    </r>
  </si>
  <si>
    <t>For 'Throughput Units' (Column F), specify which units you have supplied material throughput data in.  Your only options are 'pounds' or 'gallons'.</t>
  </si>
  <si>
    <t>For 'HAP Content' (Column G), enter either the amount of each HAP by weight percent (weight %), or in pounds of HAP per gallon of material.  If you enter the weight percent, do not add the '%' sign…simply enter the number.  E.g.  If the HAP is 15% by weight, simply enter '15'.</t>
  </si>
  <si>
    <t>For 'HAP Content Units' (Column H), specify which units you have supplied the individual HAP content in.  Your only options are weight percent (weight %), or in pounds of HAP per gallon of material (lbs/gallon).</t>
  </si>
  <si>
    <r>
      <t xml:space="preserve">For 'Product Density' (Column I), </t>
    </r>
    <r>
      <rPr>
        <b/>
        <u/>
        <sz val="11"/>
        <rFont val="Calibri"/>
        <family val="2"/>
        <scheme val="minor"/>
      </rPr>
      <t>you are only required to enter density if the cell is highlighted in yellow.</t>
    </r>
    <r>
      <rPr>
        <b/>
        <sz val="11"/>
        <rFont val="Calibri"/>
        <family val="2"/>
        <scheme val="minor"/>
      </rPr>
      <t xml:space="preserve">  If prompted, provide the density of the material in units of 'pounds per gallon'.  If your MSDS provides density in the form of 'Specific Gravity', use the appropriate conversion tool below to convert specific gravity into pounds/gallon.  </t>
    </r>
    <r>
      <rPr>
        <b/>
        <u/>
        <sz val="11"/>
        <rFont val="Calibri"/>
        <family val="2"/>
        <scheme val="minor"/>
      </rPr>
      <t>Only enter product density ONCE for each material.</t>
    </r>
  </si>
  <si>
    <r>
      <t xml:space="preserve">For 'Release Factor' (Column K), enter the amount of HAP that is actually emitted into the atmosphere as a result of material use.  For most materials, this will be 100% unless you have supporting data that shows a lower release factor.  </t>
    </r>
    <r>
      <rPr>
        <b/>
        <u/>
        <sz val="11"/>
        <rFont val="Calibri"/>
        <family val="2"/>
        <scheme val="minor"/>
      </rPr>
      <t>Only enter the release factor ONCE for each material.</t>
    </r>
  </si>
  <si>
    <t>For 'Emission Unit #(s) (Column D), enter the number of the emission unit (or units) with which the material used is associated.  For example, if you utilize the same adhesive in emission units 3-2, and 5-1, then simply enter, "3-2, 5-1" as shown below.</t>
  </si>
  <si>
    <t>HAP Throughput</t>
  </si>
  <si>
    <t>In Column F, indicate whether you will agree to control emissions from the material listed in that row.  When you click on the cells under Column F, a drop-down box will give you two options, "Yes" or "No".   Choose the appropriate answer.</t>
  </si>
  <si>
    <t xml:space="preserve">If you select "No" in Column E, the associated cell in Column I will fill in dark gray, and the cell should be left blank.  If you select "Yes" in Column E, then you will be prompted to enter a throughput limit in Column I.  Be sure to use the same throughput limit as you used in Table 6-A. </t>
  </si>
  <si>
    <r>
      <t xml:space="preserve">If you select "No" in Column F, the associated cell in Column J will fill in dark gray and the cell should be left blank.  If you select "Yes" in Column F, then you will be prompted to enter a control device in Column J.  When you click on the cells under Column J, a drop-down box will give you three control options.   Choose the appropriate option.  </t>
    </r>
    <r>
      <rPr>
        <b/>
        <u/>
        <sz val="11"/>
        <rFont val="Calibri"/>
        <family val="2"/>
        <scheme val="minor"/>
      </rPr>
      <t>If you choose 'Other' as your control device, contact the Department.</t>
    </r>
    <r>
      <rPr>
        <b/>
        <sz val="11"/>
        <rFont val="Calibri"/>
        <family val="2"/>
        <scheme val="minor"/>
      </rPr>
      <t xml:space="preserve">  Staff will assist you with incorporating the proper control efficiency.</t>
    </r>
  </si>
  <si>
    <t>Once all required entries in each row are completed, an emission figure for each HAP will appear in Column L.  These figures incorporate any throughput limits or control devices you elected to use.</t>
  </si>
  <si>
    <t>If using emission factors or calculation methods other than those provided in AP-42 or WebFIRE, attach a copy of any alternate emission factors (including stack test results) and/or emission calculations as an attachment to this application.</t>
  </si>
  <si>
    <t xml:space="preserve">        Emission Factors from Stack Testing *</t>
  </si>
  <si>
    <t xml:space="preserve">        Material Mass-Balance Calculations *</t>
  </si>
  <si>
    <r>
      <t xml:space="preserve">        Other </t>
    </r>
    <r>
      <rPr>
        <sz val="11"/>
        <color theme="1"/>
        <rFont val="Calibri"/>
        <family val="2"/>
        <scheme val="minor"/>
      </rPr>
      <t>(specify &gt;&gt;&gt;&gt;) *</t>
    </r>
  </si>
  <si>
    <t xml:space="preserve">       Initial Operating Permit</t>
  </si>
  <si>
    <t xml:space="preserve">       Operating Permit Renewal</t>
  </si>
  <si>
    <t xml:space="preserve">       Modify Existing Operating or Construction Permit</t>
  </si>
  <si>
    <t>For reference, please note the following:
 - Facilities east of NW/SW 48th St. are likely within 50 miles of Iowa.
 - Facilities south of Rokeby Rd. / Hwy 2 are within 50 miles of Kansas.
 - Facilities within the following are likely within 50 miles of Missouri:
    - south and east of SW 2nd St. &amp; Saltillo Rd.
    - south and east of S 14th St. &amp; Pioneers Blvd.
    - south and east of N 33rd St. &amp; Holdrege St.
    - south and east of N 48th St. &amp; Fletcher Ave.
    - south and east of N 70th St. &amp; Bluff Rd.
    - south and east of N 98th St. &amp; Raymond Rd.
    - south and east of N 134th St. &amp; Rock Creek Rd.
    - south and east of N 162nd St. &amp; Ashland Rd.</t>
  </si>
  <si>
    <t xml:space="preserve">       I do not know the permit type.</t>
  </si>
  <si>
    <t xml:space="preserve">       Class II Operating Permit</t>
  </si>
  <si>
    <t xml:space="preserve">       Class I Operating Permit</t>
  </si>
  <si>
    <t xml:space="preserve">       Minor Source Construction Permit (most common const. permit)</t>
  </si>
  <si>
    <r>
      <t xml:space="preserve">Sources required to obtain a construction permit under Article 2, Sections 17 and/or 19 of the Lincoln-Lancaster County Air Pollution Control Program Regulations and Standards (LLCAPCPRS), </t>
    </r>
    <r>
      <rPr>
        <b/>
        <u/>
        <sz val="11"/>
        <color theme="1"/>
        <rFont val="Calibri"/>
        <family val="2"/>
        <scheme val="minor"/>
      </rPr>
      <t>or</t>
    </r>
    <r>
      <rPr>
        <b/>
        <sz val="11"/>
        <color theme="1"/>
        <rFont val="Calibri"/>
        <family val="2"/>
        <scheme val="minor"/>
      </rPr>
      <t xml:space="preserve"> required to obtain an operating permit under Article 2, Section 8 of the LLCAPCPRS must complete and return a permit application.  This application will determine whether or not your source requires a construction permit and/or operating permit, as well as what type of permit is appropriate for your source.</t>
    </r>
  </si>
  <si>
    <t>This sheet is designed to automatically populate emission unit numbers and Source Classification Code (SCC) information based on entries you provide.  Please answer the following questions:</t>
  </si>
  <si>
    <t>Miscellaneous Emission Units</t>
  </si>
  <si>
    <r>
      <t>In Table 3-B below,  emission unit numbers  and descriptions for any "</t>
    </r>
    <r>
      <rPr>
        <b/>
        <u/>
        <sz val="11"/>
        <color theme="1"/>
        <rFont val="Calibri"/>
        <family val="2"/>
        <scheme val="minor"/>
      </rPr>
      <t>Miscellaneous Emission Units</t>
    </r>
    <r>
      <rPr>
        <b/>
        <sz val="11"/>
        <color theme="1"/>
        <rFont val="Calibri"/>
        <family val="2"/>
        <scheme val="minor"/>
      </rPr>
      <t xml:space="preserve">" that you entered in Table 3-A have been automatically imported into Table 3-B.  If the emission unit description is too long to display in the box, you do not need to change the emission unit description.  </t>
    </r>
    <r>
      <rPr>
        <b/>
        <u/>
        <sz val="11"/>
        <color theme="1"/>
        <rFont val="Calibri"/>
        <family val="2"/>
        <scheme val="minor"/>
      </rPr>
      <t>You need not enter any stack/release point information for any grain receiving, handling, shipping, feed milling, and truck traffic emissions, as these are considered "fugitive" sources for which stack information is not required.</t>
    </r>
  </si>
  <si>
    <t>As shown in the example table below, you are required to enter several different stack parameters for each miscellaneous emission unit.   Please be sure to provide information in the specified units of measurement.  If you have information in units that are different than those required here, conversion tools have been provided to convert your data to the required units.  For emission units that release 'Fugitive' emissions, skip to item #6.</t>
  </si>
  <si>
    <t>CAS No.</t>
  </si>
  <si>
    <t>100-yr GWP</t>
  </si>
  <si>
    <t>HFC-152</t>
  </si>
  <si>
    <t>HFC-161</t>
  </si>
  <si>
    <t>HFC-236cb</t>
  </si>
  <si>
    <t>HFC-236ea</t>
  </si>
  <si>
    <r>
      <t>CHF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</si>
  <si>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CHF</t>
    </r>
    <r>
      <rPr>
        <vertAlign val="subscript"/>
        <sz val="11"/>
        <rFont val="Calibri"/>
        <family val="2"/>
        <scheme val="minor"/>
      </rPr>
      <t>3</t>
    </r>
  </si>
  <si>
    <r>
      <t>CH</t>
    </r>
    <r>
      <rPr>
        <vertAlign val="subscript"/>
        <sz val="11"/>
        <rFont val="Calibri"/>
        <family val="2"/>
        <scheme val="minor"/>
      </rPr>
      <t>2</t>
    </r>
    <r>
      <rPr>
        <sz val="11"/>
        <rFont val="Calibri"/>
        <family val="2"/>
        <scheme val="minor"/>
      </rPr>
      <t>F</t>
    </r>
    <r>
      <rPr>
        <vertAlign val="subscript"/>
        <sz val="11"/>
        <rFont val="Calibri"/>
        <family val="2"/>
        <scheme val="minor"/>
      </rPr>
      <t>2</t>
    </r>
  </si>
  <si>
    <r>
      <t>CH</t>
    </r>
    <r>
      <rPr>
        <vertAlign val="subscript"/>
        <sz val="11"/>
        <rFont val="Calibri"/>
        <family val="2"/>
        <scheme val="minor"/>
      </rPr>
      <t>3</t>
    </r>
    <r>
      <rPr>
        <sz val="11"/>
        <rFont val="Calibri"/>
        <family val="2"/>
        <scheme val="minor"/>
      </rPr>
      <t>F</t>
    </r>
  </si>
  <si>
    <r>
      <t>C</t>
    </r>
    <r>
      <rPr>
        <vertAlign val="subscript"/>
        <sz val="11"/>
        <rFont val="Calibri"/>
        <family val="2"/>
        <scheme val="minor"/>
      </rPr>
      <t>2</t>
    </r>
    <r>
      <rPr>
        <sz val="11"/>
        <rFont val="Calibri"/>
        <family val="2"/>
        <scheme val="minor"/>
      </rPr>
      <t>HF</t>
    </r>
    <r>
      <rPr>
        <vertAlign val="subscript"/>
        <sz val="11"/>
        <rFont val="Calibri"/>
        <family val="2"/>
        <scheme val="minor"/>
      </rPr>
      <t>5</t>
    </r>
  </si>
  <si>
    <r>
      <t>C</t>
    </r>
    <r>
      <rPr>
        <vertAlign val="subscript"/>
        <sz val="11"/>
        <rFont val="Calibri"/>
        <family val="2"/>
        <scheme val="minor"/>
      </rPr>
      <t>2</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4</t>
    </r>
  </si>
  <si>
    <r>
      <t>CH</t>
    </r>
    <r>
      <rPr>
        <vertAlign val="subscript"/>
        <sz val="11"/>
        <rFont val="Calibri"/>
        <family val="2"/>
        <scheme val="minor"/>
      </rPr>
      <t>2</t>
    </r>
    <r>
      <rPr>
        <sz val="11"/>
        <rFont val="Calibri"/>
        <family val="2"/>
        <scheme val="minor"/>
      </rPr>
      <t>FCF</t>
    </r>
    <r>
      <rPr>
        <vertAlign val="subscript"/>
        <sz val="11"/>
        <rFont val="Calibri"/>
        <family val="2"/>
        <scheme val="minor"/>
      </rPr>
      <t>3</t>
    </r>
  </si>
  <si>
    <r>
      <t>C</t>
    </r>
    <r>
      <rPr>
        <vertAlign val="subscript"/>
        <sz val="11"/>
        <rFont val="Calibri"/>
        <family val="2"/>
        <scheme val="minor"/>
      </rPr>
      <t>2</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3</t>
    </r>
  </si>
  <si>
    <r>
      <t>CH</t>
    </r>
    <r>
      <rPr>
        <vertAlign val="subscript"/>
        <sz val="11"/>
        <rFont val="Calibri"/>
        <family val="2"/>
        <scheme val="minor"/>
      </rPr>
      <t>2</t>
    </r>
    <r>
      <rPr>
        <sz val="11"/>
        <rFont val="Calibri"/>
        <family val="2"/>
        <scheme val="minor"/>
      </rPr>
      <t>FCH</t>
    </r>
    <r>
      <rPr>
        <vertAlign val="subscript"/>
        <sz val="11"/>
        <rFont val="Calibri"/>
        <family val="2"/>
        <scheme val="minor"/>
      </rPr>
      <t>2</t>
    </r>
    <r>
      <rPr>
        <sz val="11"/>
        <rFont val="Calibri"/>
        <family val="2"/>
        <scheme val="minor"/>
      </rPr>
      <t>F</t>
    </r>
  </si>
  <si>
    <r>
      <t>CH</t>
    </r>
    <r>
      <rPr>
        <vertAlign val="subscript"/>
        <sz val="11"/>
        <rFont val="Calibri"/>
        <family val="2"/>
        <scheme val="minor"/>
      </rPr>
      <t>3</t>
    </r>
    <r>
      <rPr>
        <sz val="11"/>
        <rFont val="Calibri"/>
        <family val="2"/>
        <scheme val="minor"/>
      </rPr>
      <t>CHF</t>
    </r>
    <r>
      <rPr>
        <vertAlign val="subscript"/>
        <sz val="11"/>
        <rFont val="Calibri"/>
        <family val="2"/>
        <scheme val="minor"/>
      </rPr>
      <t>2</t>
    </r>
  </si>
  <si>
    <r>
      <t>CH</t>
    </r>
    <r>
      <rPr>
        <vertAlign val="subscript"/>
        <sz val="11"/>
        <rFont val="Calibri"/>
        <family val="2"/>
        <scheme val="minor"/>
      </rPr>
      <t>3</t>
    </r>
    <r>
      <rPr>
        <sz val="11"/>
        <rFont val="Calibri"/>
        <family val="2"/>
        <scheme val="minor"/>
      </rPr>
      <t>CH</t>
    </r>
    <r>
      <rPr>
        <vertAlign val="subscript"/>
        <sz val="11"/>
        <rFont val="Calibri"/>
        <family val="2"/>
        <scheme val="minor"/>
      </rPr>
      <t>2</t>
    </r>
    <r>
      <rPr>
        <sz val="11"/>
        <rFont val="Calibri"/>
        <family val="2"/>
        <scheme val="minor"/>
      </rPr>
      <t>F</t>
    </r>
  </si>
  <si>
    <r>
      <t>C</t>
    </r>
    <r>
      <rPr>
        <vertAlign val="subscript"/>
        <sz val="11"/>
        <rFont val="Calibri"/>
        <family val="2"/>
        <scheme val="minor"/>
      </rPr>
      <t>3</t>
    </r>
    <r>
      <rPr>
        <sz val="11"/>
        <rFont val="Calibri"/>
        <family val="2"/>
        <scheme val="minor"/>
      </rPr>
      <t>HF</t>
    </r>
    <r>
      <rPr>
        <vertAlign val="subscript"/>
        <sz val="11"/>
        <rFont val="Calibri"/>
        <family val="2"/>
        <scheme val="minor"/>
      </rPr>
      <t>7</t>
    </r>
  </si>
  <si>
    <r>
      <t>CH</t>
    </r>
    <r>
      <rPr>
        <vertAlign val="subscript"/>
        <sz val="11"/>
        <color theme="1"/>
        <rFont val="Calibri"/>
        <family val="2"/>
        <scheme val="minor"/>
      </rPr>
      <t>2</t>
    </r>
    <r>
      <rPr>
        <sz val="11"/>
        <color theme="1"/>
        <rFont val="Calibri"/>
        <family val="2"/>
        <scheme val="minor"/>
      </rPr>
      <t>FCF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</si>
  <si>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t>
    </r>
    <r>
      <rPr>
        <vertAlign val="subscript"/>
        <sz val="11"/>
        <rFont val="Calibri"/>
        <family val="2"/>
        <scheme val="minor"/>
      </rPr>
      <t>3</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</si>
  <si>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5</t>
    </r>
  </si>
  <si>
    <r>
      <t>CF</t>
    </r>
    <r>
      <rPr>
        <vertAlign val="subscript"/>
        <sz val="11"/>
        <rFont val="Calibri"/>
        <family val="2"/>
        <scheme val="minor"/>
      </rPr>
      <t>4</t>
    </r>
  </si>
  <si>
    <r>
      <t>C</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</si>
  <si>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F</t>
    </r>
    <r>
      <rPr>
        <vertAlign val="subscript"/>
        <sz val="11"/>
        <rFont val="Calibri"/>
        <family val="2"/>
        <scheme val="minor"/>
      </rPr>
      <t>8</t>
    </r>
  </si>
  <si>
    <r>
      <t>C</t>
    </r>
    <r>
      <rPr>
        <vertAlign val="subscript"/>
        <sz val="11"/>
        <rFont val="Calibri"/>
        <family val="2"/>
        <scheme val="minor"/>
      </rPr>
      <t>4</t>
    </r>
    <r>
      <rPr>
        <sz val="11"/>
        <rFont val="Calibri"/>
        <family val="2"/>
        <scheme val="minor"/>
      </rPr>
      <t>F</t>
    </r>
    <r>
      <rPr>
        <vertAlign val="subscript"/>
        <sz val="11"/>
        <rFont val="Calibri"/>
        <family val="2"/>
        <scheme val="minor"/>
      </rPr>
      <t>10</t>
    </r>
  </si>
  <si>
    <r>
      <t>C</t>
    </r>
    <r>
      <rPr>
        <vertAlign val="subscript"/>
        <sz val="11"/>
        <rFont val="Calibri"/>
        <family val="2"/>
        <scheme val="minor"/>
      </rPr>
      <t>5</t>
    </r>
    <r>
      <rPr>
        <sz val="11"/>
        <rFont val="Calibri"/>
        <family val="2"/>
        <scheme val="minor"/>
      </rPr>
      <t>F</t>
    </r>
    <r>
      <rPr>
        <vertAlign val="subscript"/>
        <sz val="11"/>
        <rFont val="Calibri"/>
        <family val="2"/>
        <scheme val="minor"/>
      </rPr>
      <t>12</t>
    </r>
  </si>
  <si>
    <r>
      <t>C</t>
    </r>
    <r>
      <rPr>
        <vertAlign val="subscript"/>
        <sz val="11"/>
        <rFont val="Calibri"/>
        <family val="2"/>
        <scheme val="minor"/>
      </rPr>
      <t>6</t>
    </r>
    <r>
      <rPr>
        <sz val="11"/>
        <rFont val="Calibri"/>
        <family val="2"/>
        <scheme val="minor"/>
      </rPr>
      <t>F</t>
    </r>
    <r>
      <rPr>
        <vertAlign val="subscript"/>
        <sz val="11"/>
        <rFont val="Calibri"/>
        <family val="2"/>
        <scheme val="minor"/>
      </rPr>
      <t>14</t>
    </r>
  </si>
  <si>
    <r>
      <t>CO</t>
    </r>
    <r>
      <rPr>
        <vertAlign val="subscript"/>
        <sz val="11"/>
        <rFont val="Calibri"/>
        <family val="2"/>
        <scheme val="minor"/>
      </rPr>
      <t>2</t>
    </r>
  </si>
  <si>
    <r>
      <t>CH</t>
    </r>
    <r>
      <rPr>
        <vertAlign val="subscript"/>
        <sz val="11"/>
        <rFont val="Calibri"/>
        <family val="2"/>
        <scheme val="minor"/>
      </rPr>
      <t>4</t>
    </r>
  </si>
  <si>
    <r>
      <t>N</t>
    </r>
    <r>
      <rPr>
        <vertAlign val="subscript"/>
        <sz val="11"/>
        <rFont val="Calibri"/>
        <family val="2"/>
        <scheme val="minor"/>
      </rPr>
      <t>2</t>
    </r>
    <r>
      <rPr>
        <sz val="11"/>
        <rFont val="Calibri"/>
        <family val="2"/>
        <scheme val="minor"/>
      </rPr>
      <t>O</t>
    </r>
  </si>
  <si>
    <r>
      <t>SF</t>
    </r>
    <r>
      <rPr>
        <vertAlign val="subscript"/>
        <sz val="11"/>
        <rFont val="Calibri"/>
        <family val="2"/>
        <scheme val="minor"/>
      </rPr>
      <t>6</t>
    </r>
  </si>
  <si>
    <t>HFC-245fa</t>
  </si>
  <si>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</si>
  <si>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t>HFC-365mfc</t>
  </si>
  <si>
    <r>
      <t>CH</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</si>
  <si>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CFHCFHCF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</si>
  <si>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SF</t>
    </r>
    <r>
      <rPr>
        <vertAlign val="subscript"/>
        <sz val="11"/>
        <color theme="1"/>
        <rFont val="Calibri"/>
        <family val="2"/>
        <scheme val="minor"/>
      </rPr>
      <t>5</t>
    </r>
    <r>
      <rPr>
        <sz val="11"/>
        <color theme="1"/>
        <rFont val="Calibri"/>
        <family val="2"/>
        <scheme val="minor"/>
      </rPr>
      <t>CF</t>
    </r>
    <r>
      <rPr>
        <vertAlign val="subscript"/>
        <sz val="11"/>
        <color theme="1"/>
        <rFont val="Calibri"/>
        <family val="2"/>
        <scheme val="minor"/>
      </rPr>
      <t>3</t>
    </r>
  </si>
  <si>
    <r>
      <t>NF</t>
    </r>
    <r>
      <rPr>
        <vertAlign val="subscript"/>
        <sz val="11"/>
        <rFont val="Calibri"/>
        <family val="2"/>
        <scheme val="minor"/>
      </rPr>
      <t>3</t>
    </r>
  </si>
  <si>
    <t>The pollutants and GWP values presented herein are derived from 40 CFR Part 98 Table A-1, as revised on November 29, 2013.</t>
  </si>
  <si>
    <t>Perfluoromethane, CFC-14, Freon 14, Halon 14, R-14, and Tetrafluoromethane</t>
  </si>
  <si>
    <t>PFC-14</t>
  </si>
  <si>
    <t>PFC-116</t>
  </si>
  <si>
    <t>Perfluoroethane, CFC-116, R-116, Ethfluorane, Halocarbon, and Hexafluoroethane</t>
  </si>
  <si>
    <t>PFC-218</t>
  </si>
  <si>
    <t>Perfluoropropane, Freon 218, RC-218, R-218, and Octafluoropropane</t>
  </si>
  <si>
    <t>Perfluorocyclopropane</t>
  </si>
  <si>
    <r>
      <t>C-C</t>
    </r>
    <r>
      <rPr>
        <vertAlign val="subscript"/>
        <sz val="11"/>
        <color theme="1"/>
        <rFont val="Calibri"/>
        <family val="2"/>
        <scheme val="minor"/>
      </rPr>
      <t>3</t>
    </r>
    <r>
      <rPr>
        <sz val="11"/>
        <color theme="1"/>
        <rFont val="Calibri"/>
        <family val="2"/>
        <scheme val="minor"/>
      </rPr>
      <t>F</t>
    </r>
    <r>
      <rPr>
        <vertAlign val="subscript"/>
        <sz val="11"/>
        <color theme="1"/>
        <rFont val="Calibri"/>
        <family val="2"/>
        <scheme val="minor"/>
      </rPr>
      <t>6</t>
    </r>
  </si>
  <si>
    <t>PFC-3-1-10</t>
  </si>
  <si>
    <t>Perfluorobutane, R-610, Halocarbon 610, and Decafluorobutane</t>
  </si>
  <si>
    <t>PFC-318</t>
  </si>
  <si>
    <r>
      <t>C-C</t>
    </r>
    <r>
      <rPr>
        <vertAlign val="subscript"/>
        <sz val="11"/>
        <rFont val="Calibri"/>
        <family val="2"/>
        <scheme val="minor"/>
      </rPr>
      <t>4</t>
    </r>
    <r>
      <rPr>
        <sz val="11"/>
        <rFont val="Calibri"/>
        <family val="2"/>
        <scheme val="minor"/>
      </rPr>
      <t>F</t>
    </r>
    <r>
      <rPr>
        <vertAlign val="subscript"/>
        <sz val="11"/>
        <rFont val="Calibri"/>
        <family val="2"/>
        <scheme val="minor"/>
      </rPr>
      <t>8</t>
    </r>
  </si>
  <si>
    <t>Perfluorocyclobutane, Freon-C-31,8 and Octafluorocyclobutane</t>
  </si>
  <si>
    <t>Perfluoropentane, R-41(12), Perflenapent, and Dodecafluoropentane</t>
  </si>
  <si>
    <t>Perfluorohexane, FC-72, Perfluoro-compound FC-72, and Tetradecafluorohexane</t>
  </si>
  <si>
    <t>PFC-4-1-12</t>
  </si>
  <si>
    <t>PFC-5-1-14</t>
  </si>
  <si>
    <t>PFC-9-1-18</t>
  </si>
  <si>
    <r>
      <t>C</t>
    </r>
    <r>
      <rPr>
        <vertAlign val="subscript"/>
        <sz val="11"/>
        <rFont val="Calibri"/>
        <family val="2"/>
        <scheme val="minor"/>
      </rPr>
      <t>10</t>
    </r>
    <r>
      <rPr>
        <sz val="11"/>
        <rFont val="Calibri"/>
        <family val="2"/>
        <scheme val="minor"/>
      </rPr>
      <t>F</t>
    </r>
    <r>
      <rPr>
        <vertAlign val="subscript"/>
        <sz val="11"/>
        <rFont val="Calibri"/>
        <family val="2"/>
        <scheme val="minor"/>
      </rPr>
      <t>18</t>
    </r>
  </si>
  <si>
    <r>
      <t>CHF</t>
    </r>
    <r>
      <rPr>
        <vertAlign val="subscript"/>
        <sz val="11"/>
        <color theme="1"/>
        <rFont val="Calibri"/>
        <family val="2"/>
        <scheme val="minor"/>
      </rPr>
      <t>2</t>
    </r>
    <r>
      <rPr>
        <sz val="11"/>
        <color theme="1"/>
        <rFont val="Calibri"/>
        <family val="2"/>
        <scheme val="minor"/>
      </rPr>
      <t>OCHCICF</t>
    </r>
    <r>
      <rPr>
        <vertAlign val="subscript"/>
        <sz val="11"/>
        <color theme="1"/>
        <rFont val="Calibri"/>
        <family val="2"/>
        <scheme val="minor"/>
      </rPr>
      <t>3</t>
    </r>
  </si>
  <si>
    <t>Isoflurane</t>
  </si>
  <si>
    <t>Hydrofluoroethers (HFEs)</t>
  </si>
  <si>
    <t>E1730133</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</si>
  <si>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F</t>
    </r>
    <r>
      <rPr>
        <vertAlign val="subscript"/>
        <sz val="11"/>
        <color theme="1"/>
        <rFont val="Calibri"/>
        <family val="2"/>
        <scheme val="minor"/>
      </rPr>
      <t>4</t>
    </r>
    <r>
      <rPr>
        <sz val="11"/>
        <color theme="1"/>
        <rFont val="Calibri"/>
        <family val="2"/>
        <scheme val="minor"/>
      </rPr>
      <t>OCHF</t>
    </r>
  </si>
  <si>
    <t>H-Galden 1040x, HG-11</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</si>
  <si>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</si>
  <si>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t>HFE-7100</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</si>
  <si>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</si>
  <si>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</si>
  <si>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</si>
  <si>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CHFOCF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</si>
  <si>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</si>
  <si>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HG-10</t>
  </si>
  <si>
    <r>
      <t>CHF</t>
    </r>
    <r>
      <rPr>
        <vertAlign val="subscript"/>
        <sz val="11"/>
        <color theme="1"/>
        <rFont val="Calibri"/>
        <family val="2"/>
        <scheme val="minor"/>
      </rPr>
      <t>2</t>
    </r>
    <r>
      <rPr>
        <sz val="11"/>
        <color theme="1"/>
        <rFont val="Calibri"/>
        <family val="2"/>
        <scheme val="minor"/>
      </rPr>
      <t>OCHFCF</t>
    </r>
    <r>
      <rPr>
        <vertAlign val="subscript"/>
        <sz val="11"/>
        <color theme="1"/>
        <rFont val="Calibri"/>
        <family val="2"/>
        <scheme val="minor"/>
      </rPr>
      <t>3</t>
    </r>
  </si>
  <si>
    <t>Desflurane</t>
  </si>
  <si>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</si>
  <si>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</si>
  <si>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</si>
  <si>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</si>
  <si>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</si>
  <si>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</si>
  <si>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</si>
  <si>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</si>
  <si>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</si>
  <si>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HG-01</t>
  </si>
  <si>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</si>
  <si>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</si>
  <si>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</si>
  <si>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</si>
  <si>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</si>
  <si>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</si>
  <si>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</si>
  <si>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</si>
  <si>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</si>
  <si>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t>HFE-7000</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</si>
  <si>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</si>
  <si>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t>HFE-7100 (Chemical Blend)</t>
  </si>
  <si>
    <t>HFE-7200</t>
  </si>
  <si>
    <t>HFE-7200 (Chemical Blend)</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</si>
  <si>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</si>
  <si>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</si>
  <si>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CH</t>
    </r>
    <r>
      <rPr>
        <vertAlign val="subscript"/>
        <sz val="11"/>
        <color theme="1"/>
        <rFont val="Calibri"/>
        <family val="2"/>
        <scheme val="minor"/>
      </rPr>
      <t>2</t>
    </r>
    <r>
      <rPr>
        <sz val="11"/>
        <color theme="1"/>
        <rFont val="Calibri"/>
        <family val="2"/>
        <scheme val="minor"/>
      </rPr>
      <t>FOCH(CF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</si>
  <si>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Sevoflurane</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</si>
  <si>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</si>
  <si>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</si>
  <si>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</si>
  <si>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HT-70</t>
  </si>
  <si>
    <t>NA</t>
  </si>
  <si>
    <r>
      <t>X-(CF</t>
    </r>
    <r>
      <rPr>
        <vertAlign val="subscript"/>
        <sz val="11"/>
        <color theme="1"/>
        <rFont val="Calibri"/>
        <family val="2"/>
        <scheme val="minor"/>
      </rPr>
      <t>2</t>
    </r>
    <r>
      <rPr>
        <sz val="11"/>
        <color theme="1"/>
        <rFont val="Calibri"/>
        <family val="2"/>
        <scheme val="minor"/>
      </rPr>
      <t>)</t>
    </r>
    <r>
      <rPr>
        <vertAlign val="subscript"/>
        <sz val="11"/>
        <color theme="1"/>
        <rFont val="Calibri"/>
        <family val="2"/>
        <scheme val="minor"/>
      </rPr>
      <t>4</t>
    </r>
    <r>
      <rPr>
        <sz val="11"/>
        <color theme="1"/>
        <rFont val="Calibri"/>
        <family val="2"/>
        <scheme val="minor"/>
      </rPr>
      <t>CH(OH)-X</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</si>
  <si>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CHOH</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</si>
  <si>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OH</t>
    </r>
  </si>
  <si>
    <r>
      <t>CF</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</si>
  <si>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 xml:space="preserve">ADDITIONAL INSTRUCTIONS FOR </t>
    </r>
    <r>
      <rPr>
        <b/>
        <i/>
        <u/>
        <sz val="12"/>
        <color theme="1"/>
        <rFont val="Calibri"/>
        <family val="2"/>
        <scheme val="minor"/>
      </rPr>
      <t>'Miscellaneous Emission Units'</t>
    </r>
  </si>
  <si>
    <t>Diesel</t>
  </si>
  <si>
    <t>200 horsepower Emergency Generator</t>
  </si>
  <si>
    <t>20.5 MMBtu/hr Boiler</t>
  </si>
  <si>
    <t>Distillate Oil</t>
  </si>
  <si>
    <t>Breathing Losses</t>
  </si>
  <si>
    <t>Working Losses</t>
  </si>
  <si>
    <t>Fixed-Roof Gasoline Storage Tanks</t>
  </si>
  <si>
    <t>Instructions for Section 3 - Table 3-B:  Stack / Release Point Information</t>
  </si>
  <si>
    <t>tons</t>
  </si>
  <si>
    <t>Emission Unit Description</t>
  </si>
  <si>
    <t>WebFIRE Emission Factors</t>
  </si>
  <si>
    <t>Class I Source?</t>
  </si>
  <si>
    <t>Class II Source?</t>
  </si>
  <si>
    <t>No permit required?</t>
  </si>
  <si>
    <t>Operating Permit Classification</t>
  </si>
  <si>
    <t>Construction Permit Classification</t>
  </si>
  <si>
    <t>Const.Pmt. required?</t>
  </si>
  <si>
    <t>Permit Emission Limit Matrix</t>
  </si>
  <si>
    <t>T-BACT required?</t>
  </si>
  <si>
    <t>Const.Pmt. - also new Class I</t>
  </si>
  <si>
    <t>OpPmt Major Source - 
Require Only Title V Permit</t>
  </si>
  <si>
    <t>ConstPmt Major Source - Require ConstPmt &amp; Title V Permit</t>
  </si>
  <si>
    <t>OpPmt Major Source - 
Synthetic Minor Permit</t>
  </si>
  <si>
    <t>OpPmt Major Source - 
Class I or II avoidance construction permit</t>
  </si>
  <si>
    <t>OpPmt Class II Source - 
Not Avoid Class II pmt</t>
  </si>
  <si>
    <t>Op Pmt Class II Source -
ConstPmt to avoid Class II permit</t>
  </si>
  <si>
    <t>ConstPmt Major Source - Require ConstPmt &amp; Class II Operating Pmt</t>
  </si>
  <si>
    <t>ConstPmt Major Source - Require ONLY Construction Permit</t>
  </si>
  <si>
    <t>Subject to MACT?</t>
  </si>
  <si>
    <t>Part A:  Permitting Requirement Determination</t>
  </si>
  <si>
    <t>Submit Sections 1-5, along with this page of Section 6 to the Department to demonstrate that no permit is required.</t>
  </si>
  <si>
    <t>Const. Permit, Class II Permit, &amp; Toxic BACT Threshold</t>
  </si>
  <si>
    <t>Class I Permit &amp;Toxic MACT Threshold</t>
  </si>
  <si>
    <t>Class II Operating Permit &amp; Construction Permit Threshold</t>
  </si>
  <si>
    <t>Class I Operating Permit Threshold</t>
  </si>
  <si>
    <t>Greenhouse Gases</t>
  </si>
  <si>
    <t>ConstPmt Minor Source - Require ONLY Construction Permit</t>
  </si>
  <si>
    <t>ConstPmt Minor Source - Require  Construction Permit &amp; Class II Operating Permit</t>
  </si>
  <si>
    <t>By choosing to limit actual emissions to less than BOTH the Class II Operating Permit thresholds and the major source (Class I or Title V) thresholds, you will only be required to obtain a Construction Permit permit for your source.  Proceed with the remainder of this section.</t>
  </si>
  <si>
    <t>By choosing to limit actual emissions to less than the Class II Operating Permit thresholds, you will only be required to obtain a Construction Permit permit for your source.  Proceed with the remainder of this section.</t>
  </si>
  <si>
    <t>By obtaining a Construction Permit containing requirements to maintain actual emissions below Class I or Class II Operating Permit thresholds, you can avoid being classified as a 'Synthetic Minor Source', or you can avoid the requirement to obtain a Class II operating permit for your source, depending on what you choose to accept.  Proceed to Part B below.</t>
  </si>
  <si>
    <t>Do you wish to obtain a construction permit containing federally enforceable requirements to maintain actual facility-wide emissions below Class II operating permit thresholds?</t>
  </si>
  <si>
    <t>Do you wish to obtain a Construction Permit containing federally enforceable requirements to maintain actual facility-wide emissions below Class II operating permit thresholds?</t>
  </si>
  <si>
    <t xml:space="preserve">Your source's facility-wide maximum potential to emit does not exceed any applicable permitting threshold, and no operating permit or construction permit is necessary.  </t>
  </si>
  <si>
    <t>Do you wish to take federally enforceable requirements in your operating permit to maintain actual facility-wide emissions below Class I operating permit thresholds?</t>
  </si>
  <si>
    <t>Do you wish to obtain a Construction Permit containing federally enforceable requirements to maintain actual facility-wide emissions below Class I and/or Class II operating permit thresholds?</t>
  </si>
  <si>
    <t xml:space="preserve">The maximum potential to emit for this construction/reconstruction/modification does not exceed any applicable permitting threshold, and no Operating Permit or Construction Permit is necessary.  </t>
  </si>
  <si>
    <t>Do you wish to obtain a Construction Permit containing federally enforceable requirements to maintain actual facility-wide emissions below Class I (Title V) operating permit thresholds?</t>
  </si>
  <si>
    <t>Do you wish to accept federally enforceable requirements to limit actual emissions of HAPs associated with this project to less than 2.5 tons for each individual HAP, and less than 10 tons for total combined HAPs?</t>
  </si>
  <si>
    <t>By choosing NOT to limit actual emissions to less than the Class II Operating Permit thresholds, you will be required to obtain a Construction Permit permit AND a Class II Operating Permit for your source.  Proceed with the remainder of this section.</t>
  </si>
  <si>
    <t>By NOT accepting requirements to maintain actual emissions below major source thresholds, you will be required to obtain a Class I (Title V) Operating Permit for your source.  Proceed with the remainder of this section.</t>
  </si>
  <si>
    <t>By NOT accepting requirements to maintain actual emissions below major source thresholds, in addition to a Construction Permit, you will be required to obtain a Class I (Title V) Operating Permit for your source.  Proceed with the remainder of this section.</t>
  </si>
  <si>
    <t>By choosing to limit actual emissions to less than major source thresholds, while also choosing NOT to limit actual emissions to less than Class II Operating Permit thresholds, in addition to a Construction Permit, you will be required to obtain a Class II Operating Permit for your source.  Proceed with the remainder of this section.</t>
  </si>
  <si>
    <t>By accepting limits in your Construction Permit to keep actual individual HAP emissions less than 2.5 tons per year, and actual total HAP emissions less than 10 tons per year, you will NOT be required to submit a 'Toxics BACT' analysis.  Proceed with the remainder of this section.</t>
  </si>
  <si>
    <t>By NOT accepting limits in your Construction Permit to keep actual individual HAP emissions less than 2.5 tons per year, and actual total HAP emissions less than 10 tons per year, you will be required to submit a 'Toxics BACT' analysis, which may require the installation of control equipment to reduce HAP emissions.  Proceed with the remainder of this section.</t>
  </si>
  <si>
    <t>By obtaining a Construction Permit containing requirements to maintain actual emissions below Class II Permit thresholds, you will avoid the requirement to obtain a Class II Operating Permit for your source.  Proceed with the remainder of this section.</t>
  </si>
  <si>
    <t>By accepting requirements to maintain actual emissions below the major source thresholds, you will avoid the requirement to obtain a Class I (Title V) Operating Permit for your source.  Proceed with the remainder of this section.</t>
  </si>
  <si>
    <t>By NOT obtaining a Construction Permit containing requirements to maintain actual emissions to less than the Class II Operating Permit thresholds, you will be required to obtain a Class II Operating Permit for your source.  Proceed with the remainder of this section.</t>
  </si>
  <si>
    <t>This project's maximum potential to emit hazardous air pollutants (HAPs) exceeds the 'toxics Best Available Control Technology' (T-BACT) thresholds, and may require you to install control equipment to reduce HAPs.  Please answer the following question.</t>
  </si>
  <si>
    <t>This project's maximum potential to emit exceeds Construction Permit thresholds, and will require a Construction Permit.  You may also be required to obtain a Class II Operating Permit unless you accept federally enforceable emission limits.  Please answer the following question.</t>
  </si>
  <si>
    <t>This project's maximum potential to emit exceeds Construction Permit thresholds, and will require a Construction Permit.  You may also be required to obtain a Class I (Title V) Operating Permit unless you accept federally enforceable emission limits.  Please answer the following questions.</t>
  </si>
  <si>
    <t>Your source's facility-wide maximum potential to emit exceeds Class II operating permit thresholds, and may require a Class II operating permit.  Please answer the following questions.</t>
  </si>
  <si>
    <t>Your source's facility-wide maximum potential to emit exceeds major source thresholds, and may require a Class I operating permit.  However, if you agree to accept federally enforceable requirements to maintain actual emissions to less than major source thresholds, you can avoid the requirement to obtain a Class I (Title V) operating permit.  Please answer the following questions.</t>
  </si>
  <si>
    <t>In Part A, you have indicated that you would like to obtain a construction permit that would limit potential facility-wide emissions to less than the Class I or Class II Operating Permit thresholds.  Please select from the following options:</t>
  </si>
  <si>
    <r>
      <t xml:space="preserve">Part B:  Construction Permit Information </t>
    </r>
    <r>
      <rPr>
        <sz val="13"/>
        <color theme="1"/>
        <rFont val="Calibri"/>
        <family val="2"/>
        <scheme val="minor"/>
      </rPr>
      <t>(applies only to major sources avoiding a Class I permit)</t>
    </r>
  </si>
  <si>
    <t>SECTION 6 – SOURCE CLASS &amp; PERMIT DETERMINATION</t>
  </si>
  <si>
    <t>SECTION 6:  SOURCE CLASS &amp; PERMIT DETERMINATION</t>
  </si>
  <si>
    <r>
      <t xml:space="preserve">This table is only to be used for the purpose of a construction permit application, </t>
    </r>
    <r>
      <rPr>
        <b/>
        <u/>
        <sz val="14"/>
        <color rgb="FFFF0000"/>
        <rFont val="Calibri"/>
        <family val="2"/>
        <scheme val="minor"/>
      </rPr>
      <t>OR</t>
    </r>
    <r>
      <rPr>
        <b/>
        <sz val="14"/>
        <color rgb="FFFF0000"/>
        <rFont val="Calibri"/>
        <family val="2"/>
        <scheme val="minor"/>
      </rPr>
      <t xml:space="preserve"> if you are seeking to obtain a construction permit limiting facility-wide potential emissions </t>
    </r>
    <r>
      <rPr>
        <b/>
        <u/>
        <sz val="14"/>
        <color rgb="FFFF0000"/>
        <rFont val="Calibri"/>
        <family val="2"/>
        <scheme val="minor"/>
      </rPr>
      <t>in addition</t>
    </r>
    <r>
      <rPr>
        <b/>
        <sz val="14"/>
        <color rgb="FFFF0000"/>
        <rFont val="Calibri"/>
        <family val="2"/>
        <scheme val="minor"/>
      </rPr>
      <t xml:space="preserve"> to an operating permit.  If you are not seeking to obtain a construction permit, proceed to Table 7-A.</t>
    </r>
  </si>
  <si>
    <r>
      <t xml:space="preserve">Using the drop-down box provided, indicate whether or not you would like to accept unit-specific emission limits for any 'Miscellaneous Emission Units' as part of the construction permit.  For those units that you do agree to limit, enter the limit for each pollutant in units of </t>
    </r>
    <r>
      <rPr>
        <b/>
        <i/>
        <u/>
        <sz val="11"/>
        <color theme="1"/>
        <rFont val="Arial"/>
        <family val="2"/>
      </rPr>
      <t>pounds</t>
    </r>
    <r>
      <rPr>
        <b/>
        <i/>
        <sz val="11"/>
        <color theme="1"/>
        <rFont val="Arial"/>
        <family val="2"/>
      </rPr>
      <t>.  For pollutants you do not wish to limit, enter zero (0).</t>
    </r>
  </si>
  <si>
    <t>8-1</t>
  </si>
  <si>
    <t>9-1</t>
  </si>
  <si>
    <t>9-2</t>
  </si>
  <si>
    <t>10-1</t>
  </si>
  <si>
    <t>10-2</t>
  </si>
  <si>
    <t>Part F:  Table 6-A – Source-Elected Throughput Limits and Emission Control Requirements</t>
  </si>
  <si>
    <r>
      <t xml:space="preserve">Do you wish to accept </t>
    </r>
    <r>
      <rPr>
        <b/>
        <i/>
        <u/>
        <sz val="12"/>
        <color theme="1"/>
        <rFont val="Calibri"/>
        <family val="2"/>
        <scheme val="minor"/>
      </rPr>
      <t>facility-wide</t>
    </r>
    <r>
      <rPr>
        <b/>
        <i/>
        <sz val="12"/>
        <color theme="1"/>
        <rFont val="Calibri"/>
        <family val="2"/>
        <scheme val="minor"/>
      </rPr>
      <t xml:space="preserve"> emission limits as part of a construction permit?  If "Yes", enter the limit(s) in units of pounds.  For pollutants with no limit, enter zero (0).</t>
    </r>
  </si>
  <si>
    <t>Part G:  Source-Elected Facility-Wide Emission Limits</t>
  </si>
  <si>
    <t>Part H:  Source-Elected Emission Limits For All New/Modified Equipment</t>
  </si>
  <si>
    <t>If you indicated in Parts A and/or B of Section 6 that you would like to take a facility-wide emission limit(s) as a condition of a Construction Permit to avoid being classified as either a Class I or a Class II source, then complete the following.  If you do not wish to take a facility-wide emission limit(s), check "No" and proceed to Part H, below.</t>
  </si>
  <si>
    <t>If this is a Construction Permit application, and you wish accept emission limits that will apply to ALL new and/or modified equipment listed in Table 3-A (either to avoid requiring an operating permit, or to avoid applicability of 'Best Available Control Technology' (BACT) requirements, then complete the following.  If you do not wish to take such limits, or if this application is for an Operating Permit, check "No" and proceed to Part I, below.</t>
  </si>
  <si>
    <r>
      <t xml:space="preserve">Do you wish to accept emission limits </t>
    </r>
    <r>
      <rPr>
        <b/>
        <i/>
        <u/>
        <sz val="12"/>
        <color theme="1"/>
        <rFont val="Calibri"/>
        <family val="2"/>
        <scheme val="minor"/>
      </rPr>
      <t>that will apply to all of the emission units listed in Table 3-A</t>
    </r>
    <r>
      <rPr>
        <b/>
        <i/>
        <sz val="12"/>
        <color theme="1"/>
        <rFont val="Calibri"/>
        <family val="2"/>
        <scheme val="minor"/>
      </rPr>
      <t xml:space="preserve"> as part of a Construction Permit?  If "Yes", enter the limit(s) in units of </t>
    </r>
    <r>
      <rPr>
        <b/>
        <i/>
        <u/>
        <sz val="12"/>
        <color theme="1"/>
        <rFont val="Calibri"/>
        <family val="2"/>
        <scheme val="minor"/>
      </rPr>
      <t>pounds</t>
    </r>
    <r>
      <rPr>
        <b/>
        <i/>
        <sz val="12"/>
        <color theme="1"/>
        <rFont val="Calibri"/>
        <family val="2"/>
        <scheme val="minor"/>
      </rPr>
      <t>.  For pollutants with no limit, enter zero (0).</t>
    </r>
  </si>
  <si>
    <t>Part I:  Table 6-B – Source-Elected Unit-Specific Emission Limits</t>
  </si>
  <si>
    <t>14-1</t>
  </si>
  <si>
    <t>16-2, 15-1</t>
  </si>
  <si>
    <t>Trifluoromethyl sulphur pentafluoride*</t>
  </si>
  <si>
    <t>Nitrogen trifluoride*</t>
  </si>
  <si>
    <t>HCFE-235da2*</t>
  </si>
  <si>
    <t>(Octafluorotetramethy-lene) hydroxymethyl group*</t>
  </si>
  <si>
    <t>Bis(trifluoromethyl)-methanol*</t>
  </si>
  <si>
    <t>2,2,3,3,3-pentafluoropropanol*</t>
  </si>
  <si>
    <t>PFPMIE*</t>
  </si>
  <si>
    <t>HFE-125*</t>
  </si>
  <si>
    <t>HFE-43-10pccc*</t>
  </si>
  <si>
    <t>HFE-134*</t>
  </si>
  <si>
    <t>HFE-143a*</t>
  </si>
  <si>
    <t>HFE-227ea*</t>
  </si>
  <si>
    <t>HFE-236ca12*</t>
  </si>
  <si>
    <t>HFE-236ea2*</t>
  </si>
  <si>
    <t>HFE-236fa*</t>
  </si>
  <si>
    <t>HFE-245cb2*</t>
  </si>
  <si>
    <t>HFE-245fa1*</t>
  </si>
  <si>
    <t>HFE-245fa2*</t>
  </si>
  <si>
    <t>HFE-254cb2*</t>
  </si>
  <si>
    <t>HFE-263fb2*</t>
  </si>
  <si>
    <t>HFE-329mcc2*</t>
  </si>
  <si>
    <t>HFE-338mcf2*</t>
  </si>
  <si>
    <t>HFE-338pcc13*</t>
  </si>
  <si>
    <t>HFE-347mcc3*</t>
  </si>
  <si>
    <t>HFE-347mcf2*</t>
  </si>
  <si>
    <t>HFE-347pcf2*</t>
  </si>
  <si>
    <t>HFE-356mec3*</t>
  </si>
  <si>
    <t>HFE-356pcc3*</t>
  </si>
  <si>
    <t>HFE-356pcf2*</t>
  </si>
  <si>
    <t>HFE-356pcf3*</t>
  </si>
  <si>
    <t>HFE-365mcf3*</t>
  </si>
  <si>
    <t>HFE-374pc2*</t>
  </si>
  <si>
    <t>HFE-449s1*</t>
  </si>
  <si>
    <t>HFE-449s1 (Chemical Blend)*</t>
  </si>
  <si>
    <t>HFE-569sf2*</t>
  </si>
  <si>
    <t>HFE-569sf2 (Chemical Blend)*</t>
  </si>
  <si>
    <t>HFE-347mmz1*</t>
  </si>
  <si>
    <t>HFE-356mm1*</t>
  </si>
  <si>
    <t>HFE-338mmz1*</t>
  </si>
  <si>
    <t>HFE-347mmy1*</t>
  </si>
  <si>
    <r>
      <t xml:space="preserve">Names followed by an asterisk (*) denote pollutants that are only GHGs subject to the Greenhouse Gas Mandatory Reporting Rule set forth in 40 CFR Part 98.  These are not GHGs regulated by the PSD &amp; Title V Greenhouse Gas Tailoring Rule.  </t>
    </r>
    <r>
      <rPr>
        <b/>
        <u/>
        <sz val="11"/>
        <color theme="1"/>
        <rFont val="Calibri"/>
        <family val="2"/>
        <scheme val="minor"/>
      </rPr>
      <t>Do not include these pollutants</t>
    </r>
    <r>
      <rPr>
        <b/>
        <sz val="11"/>
        <color theme="1"/>
        <rFont val="Calibri"/>
        <family val="2"/>
        <scheme val="minor"/>
      </rPr>
      <t xml:space="preserve"> in your CO</t>
    </r>
    <r>
      <rPr>
        <b/>
        <vertAlign val="subscript"/>
        <sz val="11"/>
        <color theme="1"/>
        <rFont val="Calibri"/>
        <family val="2"/>
        <scheme val="minor"/>
      </rPr>
      <t>2</t>
    </r>
    <r>
      <rPr>
        <b/>
        <sz val="11"/>
        <color theme="1"/>
        <rFont val="Calibri"/>
        <family val="2"/>
        <scheme val="minor"/>
      </rPr>
      <t>e calculations.</t>
    </r>
  </si>
  <si>
    <t>Engine SCCs</t>
  </si>
  <si>
    <t>Diesel (&lt; 600 horsepower)</t>
  </si>
  <si>
    <r>
      <t>Diesel (</t>
    </r>
    <r>
      <rPr>
        <u/>
        <sz val="11"/>
        <color theme="1"/>
        <rFont val="Calibri"/>
        <family val="2"/>
        <scheme val="minor"/>
      </rPr>
      <t>&gt;</t>
    </r>
    <r>
      <rPr>
        <sz val="11"/>
        <color theme="1"/>
        <rFont val="Calibri"/>
        <family val="2"/>
        <scheme val="minor"/>
      </rPr>
      <t xml:space="preserve"> 600 horsepower)</t>
    </r>
  </si>
  <si>
    <t>&gt;600 hp Diesel Engine</t>
  </si>
  <si>
    <t>&lt;600 hp Diesel Engine</t>
  </si>
  <si>
    <t>4SRB Nat. Gas Engine</t>
  </si>
  <si>
    <t>4SLB Nat. Gas Engine</t>
  </si>
  <si>
    <t>Gasoline Engine</t>
  </si>
  <si>
    <t>yards</t>
  </si>
  <si>
    <t>If you wish, you may enter the emission factors you use for each Miscellaneous Emission Unit in the table to the right.</t>
  </si>
  <si>
    <t>1000 gals</t>
  </si>
  <si>
    <t>Required Information for Emission Calculations</t>
  </si>
  <si>
    <t>For the purposes of this permit application, all material handling, crushing, screening, and truck traffic emissions are considered "fugitive" sources, for which stack information is not required.  Stack information for any 'Miscellaneous' emission units is provided below.</t>
  </si>
  <si>
    <r>
      <t xml:space="preserve">As shown in the example tables below, both emission units 5-1 and 5-2 (which represent the 20.5 MMBtu/hr boiler), have different emissions associated with them for fuel oil and natural gas operation.  However the boiler cannot run simultaneously on natural gas and fuel oil for 8,760 hours/yr.  For scenarios like this, compare the emission values between the two emission unit #'s associated with a single emission point, and replace the lowest emission value for each pollutant with a zero (0).  This will ensure that a true maximum potential to emit for your facility is calculated, and that you are not penalized for emissions from mutually-exclusive operating scenarios.  Repeat this process for any other emission units with mutually-exclusive operating scenarios.  
The first example table shows the cells (highlighted in </t>
    </r>
    <r>
      <rPr>
        <b/>
        <u/>
        <sz val="11"/>
        <rFont val="Calibri"/>
        <family val="2"/>
        <scheme val="minor"/>
      </rPr>
      <t>green</t>
    </r>
    <r>
      <rPr>
        <b/>
        <sz val="11"/>
        <rFont val="Calibri"/>
        <family val="2"/>
        <scheme val="minor"/>
      </rPr>
      <t xml:space="preserve">) with the lower emission values for the respective pollutant between the two operating scenarios (natural gas and fuel oil).  The second example table shows those lower values having been replaced with zeros.  Cells highlighted in </t>
    </r>
    <r>
      <rPr>
        <b/>
        <u/>
        <sz val="11"/>
        <rFont val="Calibri"/>
        <family val="2"/>
        <scheme val="minor"/>
      </rPr>
      <t>yellow</t>
    </r>
    <r>
      <rPr>
        <b/>
        <sz val="11"/>
        <rFont val="Calibri"/>
        <family val="2"/>
        <scheme val="minor"/>
      </rPr>
      <t xml:space="preserve"> indicate that an emission value must still be entered.</t>
    </r>
  </si>
  <si>
    <t>PM10</t>
  </si>
  <si>
    <t>PM2.5</t>
  </si>
  <si>
    <t>CO2e</t>
  </si>
  <si>
    <t>Ind. HAP</t>
  </si>
  <si>
    <t>Tot. HAP</t>
  </si>
  <si>
    <t>NOTE:  If your plant utilizes a Baghouse, then in the table below, select "Fabric Filter".</t>
  </si>
  <si>
    <t>Conbined Totals (tons)</t>
  </si>
  <si>
    <t>Primary Totals (lbs)</t>
  </si>
  <si>
    <t xml:space="preserve">For 'Hourly Process Rate' (Column C), enter the maximum hourly processing/throughput rate for the associated emission unit.  As shown in the example table, when entering the Hourly Process Rate, do not round any further than the 4th decimal place.  In Column F, the maximum annual throughput rate will be calculated automatically by multiplying the hourly rate that you provide by 8,760 hours/year. </t>
  </si>
  <si>
    <t>Continue entering data in a similar manner as prescribed.  Information entered in this table will be used to populate data in Table 5-E of this application.</t>
  </si>
  <si>
    <t>Continue entering data in a similar manner as prescribed.  Information entered in this table will be used to populate data in Table 7-E of this application.</t>
  </si>
  <si>
    <t>In Columns D and F, the maximum annual throughput calculated in Tables 5-A and 5-B, as well as the throughput units, have been imported so that you can easily compare the maximum throughput to a throughput limit, should you choose to accept one.</t>
  </si>
  <si>
    <t>Instructions for Section 7 - Table 7-A:  Facility-Wide APTE - Regulated Air Pollutant Emissions from Concrete Batch Plants and Other Units</t>
  </si>
  <si>
    <r>
      <t xml:space="preserve">Table 7-A:  APTE </t>
    </r>
    <r>
      <rPr>
        <b/>
        <sz val="11"/>
        <color theme="1"/>
        <rFont val="Calibri"/>
        <family val="2"/>
      </rPr>
      <t>–</t>
    </r>
    <r>
      <rPr>
        <b/>
        <sz val="11"/>
        <color theme="1"/>
        <rFont val="Arial"/>
        <family val="2"/>
      </rPr>
      <t xml:space="preserve"> Regulated Air Pollutant Emissions from Concrete Batch Plants and Other Units</t>
    </r>
  </si>
  <si>
    <t>Please review the information presented in Table 7-D for accuracy.  If you find errors or inconsistent data, please contact the Department for assistance.</t>
  </si>
  <si>
    <t>Table 3-A:  Emission Unit Identification</t>
  </si>
  <si>
    <t>PHYSICAL PLANT GENERAL SOURCE PERMIT APPLICATION</t>
  </si>
  <si>
    <t>This form is intended for use by sources that fit any the 'general source' category for a 'physical plant'.  This form allows for the inclusion of boilers, stationary engines, turbines, and other miscellaneous emission units.  If these emission units are not the primary source of emissions from your source  contact the LLCHD Air Quality Program at (402) 441-8040 to obtain an application that is more suitable to your facility.</t>
  </si>
  <si>
    <t>Instructions for Section 5 - Table 5-A:  Maximum Potential to Emit (MPTE) - Regulated Air Pollutant Emissions from Physical Plants and Other Equipment</t>
  </si>
  <si>
    <r>
      <t xml:space="preserve">Table 5-A:  MPTE </t>
    </r>
    <r>
      <rPr>
        <b/>
        <sz val="11"/>
        <color theme="1"/>
        <rFont val="Calibri"/>
        <family val="2"/>
      </rPr>
      <t>–</t>
    </r>
    <r>
      <rPr>
        <b/>
        <sz val="11"/>
        <color theme="1"/>
        <rFont val="Arial"/>
        <family val="2"/>
      </rPr>
      <t xml:space="preserve"> Regulated Air Pollutant Emissions from Physical Plants and Other Equipment</t>
    </r>
  </si>
  <si>
    <t>Number List</t>
  </si>
  <si>
    <t>Engine Type List</t>
  </si>
  <si>
    <t>Check the box that best describes the type of facility you are applying to permit.</t>
  </si>
  <si>
    <t xml:space="preserve">            Industrial                       Commercial                       Institutional</t>
  </si>
  <si>
    <t>Does your facility have any other emission units not described above, or  additional
units not accommodated in the boxes above?........................................................................      Yes             No</t>
  </si>
  <si>
    <t>Do you have any boilers are you applying to permit?  If so, how many?  (5 max).....................       Yes             No</t>
  </si>
  <si>
    <t>Does your facility have any stationary engines are are associated with your source?  
If so, how many (5 max).........................................................................................................       Yes             No</t>
  </si>
  <si>
    <t>Boiler Emission Units</t>
  </si>
  <si>
    <t>Cooling Tower Emission Units</t>
  </si>
  <si>
    <t>Combustion Turbine Emission Units</t>
  </si>
  <si>
    <t>*** Include any emergency generators associated with
        your source.</t>
  </si>
  <si>
    <t xml:space="preserve">End of Instructions. </t>
  </si>
  <si>
    <t>Additional Required Information</t>
  </si>
  <si>
    <t xml:space="preserve">Enter the name or numeric desgnation you use to identify this boiler: </t>
  </si>
  <si>
    <t>2nd Boiler</t>
  </si>
  <si>
    <t>1st Boiler</t>
  </si>
  <si>
    <t>3rd Boiler</t>
  </si>
  <si>
    <t>4th Boiler</t>
  </si>
  <si>
    <t>5th Boiler</t>
  </si>
  <si>
    <t>gals/min</t>
  </si>
  <si>
    <t>MMBtu/hr</t>
  </si>
  <si>
    <r>
      <t xml:space="preserve">Enter the </t>
    </r>
    <r>
      <rPr>
        <b/>
        <u/>
        <sz val="11"/>
        <color theme="1"/>
        <rFont val="Calibri"/>
        <family val="2"/>
        <scheme val="minor"/>
      </rPr>
      <t>combined</t>
    </r>
    <r>
      <rPr>
        <b/>
        <sz val="11"/>
        <color theme="1"/>
        <rFont val="Calibri"/>
        <family val="2"/>
        <scheme val="minor"/>
      </rPr>
      <t xml:space="preserve"> circulating water flow rate for all cooling towers rated </t>
    </r>
    <r>
      <rPr>
        <b/>
        <u/>
        <sz val="11"/>
        <color theme="1"/>
        <rFont val="Calibri"/>
        <family val="2"/>
        <scheme val="minor"/>
      </rPr>
      <t>&gt;</t>
    </r>
    <r>
      <rPr>
        <b/>
        <sz val="11"/>
        <color theme="1"/>
        <rFont val="Calibri"/>
        <family val="2"/>
        <scheme val="minor"/>
      </rPr>
      <t>2,000 gallons per minute:</t>
    </r>
  </si>
  <si>
    <r>
      <t xml:space="preserve">Enter the average drift loss (expressed as a percent of circulating flow rate) for all towers rated </t>
    </r>
    <r>
      <rPr>
        <b/>
        <u/>
        <sz val="11"/>
        <color theme="1"/>
        <rFont val="Calibri"/>
        <family val="2"/>
        <scheme val="minor"/>
      </rPr>
      <t>&gt;</t>
    </r>
    <r>
      <rPr>
        <b/>
        <sz val="11"/>
        <color theme="1"/>
        <rFont val="Calibri"/>
        <family val="2"/>
        <scheme val="minor"/>
      </rPr>
      <t>2,000 gals/min:</t>
    </r>
  </si>
  <si>
    <t>Enter the year in which this boiler was installed:</t>
  </si>
  <si>
    <t>Enter the rated capacity of this boiler in units of 'million British thermal units per hour' (MMBtu/hr):</t>
  </si>
  <si>
    <t>Using the drop-down list in the cell to the right, select the primary fuel used to operate this boiler:</t>
  </si>
  <si>
    <t>Enter the total dissolved solids (TDS) of your cooling water in units of parts per million (ppm):</t>
  </si>
  <si>
    <t>Cooling Towers</t>
  </si>
  <si>
    <t>1st Combustion Turbine</t>
  </si>
  <si>
    <t>2nd Combustion Turbine</t>
  </si>
  <si>
    <t xml:space="preserve">Enter the name or numeric desgnation you use to identify this turbine: </t>
  </si>
  <si>
    <t>Enter the year in which this turbine was installed:</t>
  </si>
  <si>
    <t>Enter the rated capacity of this turbine in units of 'million British thermal units per hour' (MMBtu/hr):</t>
  </si>
  <si>
    <t>1st Engine</t>
  </si>
  <si>
    <t>2nd Engine</t>
  </si>
  <si>
    <t>3rd Engine</t>
  </si>
  <si>
    <t>4th Engine</t>
  </si>
  <si>
    <t>5th Engine</t>
  </si>
  <si>
    <t>Enter the year in which this engine was installed:</t>
  </si>
  <si>
    <t>Distillate Oil (#1 or #2)</t>
  </si>
  <si>
    <t>Bituminous Coal</t>
  </si>
  <si>
    <t>Subbituminous Coal</t>
  </si>
  <si>
    <t>#4 Fuel Oil</t>
  </si>
  <si>
    <t>#6 Fuel Oil</t>
  </si>
  <si>
    <t>Boiler Fuel List</t>
  </si>
  <si>
    <t>LPG (Propane)</t>
  </si>
  <si>
    <t>Turbine Fuel List</t>
  </si>
  <si>
    <t>Gasoline (any horsepower)</t>
  </si>
  <si>
    <t>Natural Gas 4-Stroke Rich Burn (4SRB) (any horsepower)</t>
  </si>
  <si>
    <t>Natural Gas 4-Stroke Lean Burn (4SLB) (any horsepower)</t>
  </si>
  <si>
    <t>Using the drop-down list, select the fuel and horsepower rating that applies to this engine:</t>
  </si>
  <si>
    <t>Using the drop-down list, select the primary fuel used to operate this turbine</t>
  </si>
  <si>
    <t>If this boiler uses back-up fuel(s), the use drop-down lists to select up to 2 back-up fuels for this boiler.  If this boiler does not use any back-up fuels, leave the cells to the right blank.</t>
  </si>
  <si>
    <t>Using the drop-down list, select a back-up fuel for this turbine. (leave blank if not applicable)</t>
  </si>
  <si>
    <t>Do you have any cooling towers that you are applying to permit?
If so, how many?...................................................................................................................       Yes             No</t>
  </si>
  <si>
    <t>Boiler ICI List</t>
  </si>
  <si>
    <t>Industrial</t>
  </si>
  <si>
    <t>Commercial/Institutional</t>
  </si>
  <si>
    <t>Boiler Rating List</t>
  </si>
  <si>
    <t>&gt;100 MMBtu/hr</t>
  </si>
  <si>
    <t>10-100 MMBtu/hr</t>
  </si>
  <si>
    <t>&lt;10 MMBtu/hr</t>
  </si>
  <si>
    <t>Full Boiler List</t>
  </si>
  <si>
    <t>SCCs</t>
  </si>
  <si>
    <t>Cogeneration</t>
  </si>
  <si>
    <t>Industrial - Bituminous Coal - Cogeneration</t>
  </si>
  <si>
    <t>Industrial - Subbituminous Coal - Cogeneration</t>
  </si>
  <si>
    <t>Industrial - Distillate Oil (#1 or #2) - &gt;100 MMBtu/hr</t>
  </si>
  <si>
    <t>Industrial - Distillate Oil (#1 or #2) - 10-100 MMBtu/hr</t>
  </si>
  <si>
    <t>Industrial - Distillate Oil (#1 or #2) - &lt;10 MMBtu/hr</t>
  </si>
  <si>
    <t>Industrial - Distillate Oil (#1 or #2) - Cogeneration</t>
  </si>
  <si>
    <t>Industrial - Natural Gas - &gt;100 MMBtu/hr</t>
  </si>
  <si>
    <t>Industrial - Natural Gas - 10-100 MMBtu/hr</t>
  </si>
  <si>
    <t>Industrial - Natural Gas - &lt;10 MMBtu/hr</t>
  </si>
  <si>
    <t>Industrial - Natural Gas - Cogeneration</t>
  </si>
  <si>
    <t>Commercial/Institutional - Subbituminous Coal - Spreader Stoker</t>
  </si>
  <si>
    <t>Commercial/Institutional - #6 Fuel Oil - &gt;100 MMBtu/hr</t>
  </si>
  <si>
    <t>Commercial/Institutional - #6 Fuel Oil - 10-100 MMBtu/hr</t>
  </si>
  <si>
    <t>Commercial/Institutional - #6 Fuel Oil - &lt;10 MMBtu/hr</t>
  </si>
  <si>
    <t>Commercial/Institutional - Distillate Oil (#1 or #2) - &gt;100 MMBtu/hr</t>
  </si>
  <si>
    <t>Commercial/Institutional - Distillate Oil (#1 or #2) - 10-100 MMBtu/hr</t>
  </si>
  <si>
    <t>Commercial/Institutional - Distillate Oil (#1 or #2) - &lt;10 MMBtu/hr</t>
  </si>
  <si>
    <t>Commercial/Institutional - Distillate Oil (#1 or #2) - Cogeneration</t>
  </si>
  <si>
    <t>Commercial/Institutional - Natural Gas - &gt;100 MMBtu/hr</t>
  </si>
  <si>
    <t>Commercial/Institutional - Natural Gas - 10-100 MMBtu/hr</t>
  </si>
  <si>
    <t>Commercial/Institutional - Natural Gas - &lt;10 MMBtu/hr</t>
  </si>
  <si>
    <t>Commercial/Institutional - Natural Gas - Cogeneration</t>
  </si>
  <si>
    <t>Is this a 'Cogeneration' unit?</t>
  </si>
  <si>
    <t>Yes             No</t>
  </si>
  <si>
    <t xml:space="preserve">Industrial - LPG (Propane) - </t>
  </si>
  <si>
    <t xml:space="preserve">Industrial - #4 Fuel Oil - </t>
  </si>
  <si>
    <t>Industrial - Subbituminous Coal - Spreader Stoker</t>
  </si>
  <si>
    <t>Industrial - Bituminous Coal - Spreader Stoker</t>
  </si>
  <si>
    <t>Commercial/Institutional - Bituminous Coal - Spreader Stoker</t>
  </si>
  <si>
    <t>Spreader Stoker</t>
  </si>
  <si>
    <t>Full Turbine List</t>
  </si>
  <si>
    <t>Industrial - Distillate Oil (Diesel)</t>
  </si>
  <si>
    <t>Distillate Oil (Diesel)</t>
  </si>
  <si>
    <t>Industrial - Natural Gas</t>
  </si>
  <si>
    <t>Commercial/Institutional - Natural Gas</t>
  </si>
  <si>
    <t>Commercial/Institutional - Distillate Oil (Diesel)</t>
  </si>
  <si>
    <t>Industrial - #6 Fuel Oil - &gt;100 MMBtu/hr</t>
  </si>
  <si>
    <t>Industrial - #6 Fuel Oil - 10-100 MMBtu/hr</t>
  </si>
  <si>
    <t>Industrial - #6 Fuel Oil - &lt;10 MMBtu/hr</t>
  </si>
  <si>
    <t>Commercial/Institutional - Bituminous Coal - Cogeneration</t>
  </si>
  <si>
    <t>Commercial/Institutional - Subbituminous Coal - Cogeneration</t>
  </si>
  <si>
    <t>Industrial - #6 Fuel Oil - Cogeneration</t>
  </si>
  <si>
    <t>Commercial/Institutional - #6 Fuel Oil - Cogeneration</t>
  </si>
  <si>
    <t xml:space="preserve">Enter the name or numeric desgnation you use to identify this engine: (include horsepower as 'hp' if you wish) </t>
  </si>
  <si>
    <r>
      <t xml:space="preserve">Enter the engine's maximum </t>
    </r>
    <r>
      <rPr>
        <b/>
        <u/>
        <sz val="11"/>
        <color theme="1"/>
        <rFont val="Calibri"/>
        <family val="2"/>
        <scheme val="minor"/>
      </rPr>
      <t>hourly</t>
    </r>
    <r>
      <rPr>
        <b/>
        <sz val="11"/>
        <color theme="1"/>
        <rFont val="Calibri"/>
        <family val="2"/>
        <scheme val="minor"/>
      </rPr>
      <t xml:space="preserve"> fuel use rate in the units provided to the right of the cell:</t>
    </r>
  </si>
  <si>
    <t>Do you have any combustion turbines that you are applying to permit? 
If so, how many (3 max).........................................................................................................       Yes             No</t>
  </si>
  <si>
    <t>3rd Combustion Turbine</t>
  </si>
  <si>
    <t>Complete the following questions as they apply to your facility's STATIONARY ENGINES.  Include all emergency generators.  If you have more than 5 engines, enter additional engines under 'Miscellaneous Emission Units'.</t>
  </si>
  <si>
    <r>
      <t xml:space="preserve">Complete the following questions as they apply to your facility's </t>
    </r>
    <r>
      <rPr>
        <b/>
        <u/>
        <sz val="12"/>
        <color theme="1"/>
        <rFont val="Calibri"/>
        <family val="2"/>
        <scheme val="minor"/>
      </rPr>
      <t>COOLING TOWERS.</t>
    </r>
  </si>
  <si>
    <r>
      <t xml:space="preserve">Complete the following questions as they apply to your facility's </t>
    </r>
    <r>
      <rPr>
        <b/>
        <u/>
        <sz val="12"/>
        <color theme="1"/>
        <rFont val="Calibri"/>
        <family val="2"/>
        <scheme val="minor"/>
      </rPr>
      <t>BOILERS</t>
    </r>
    <r>
      <rPr>
        <b/>
        <sz val="12"/>
        <color theme="1"/>
        <rFont val="Calibri"/>
        <family val="2"/>
        <scheme val="minor"/>
      </rPr>
      <t>.  If you have more than 5 boilers, enter additional boilers under 'Miscellaneous Emission Units'.</t>
    </r>
  </si>
  <si>
    <r>
      <t xml:space="preserve">Complete the following questions as they apply to your facility's </t>
    </r>
    <r>
      <rPr>
        <b/>
        <u/>
        <sz val="12"/>
        <color theme="1"/>
        <rFont val="Calibri"/>
        <family val="2"/>
        <scheme val="minor"/>
      </rPr>
      <t>COMBUSTION TURBINES</t>
    </r>
    <r>
      <rPr>
        <b/>
        <sz val="12"/>
        <color theme="1"/>
        <rFont val="Calibri"/>
        <family val="2"/>
        <scheme val="minor"/>
      </rPr>
      <t>.  If you have more than 3 turbines, enter additional turbines under 'Miscellaneous Emission Units'.</t>
    </r>
  </si>
  <si>
    <t>Stationary Engine Emission Units</t>
  </si>
  <si>
    <t>Instructions for Section 5 - Table 5-D:  Maximum Potential to Emit and Construction Permit Thresholds</t>
  </si>
  <si>
    <t>Instructions for Section 5 - Table 5-C:  Maximum Potential to Emit (MPTE) - HAP Emissions from HAP-Containing Materials</t>
  </si>
  <si>
    <t>For each HAP-containing material used in the new/modified/reconstructed emission units, enter the requested information in Table 5-C in the manner shown in the example table below.  Do not include HAP emissions from materials that are used in an 'Insignificant Activity', as prescribed in the Instructions for Section 4.</t>
  </si>
  <si>
    <t>Table 5-C:  MPTE - HAP Emissions from HAP-Containing Materials</t>
  </si>
  <si>
    <r>
      <t xml:space="preserve">Table 5-B:  MPTE </t>
    </r>
    <r>
      <rPr>
        <b/>
        <sz val="11"/>
        <color theme="1"/>
        <rFont val="Calibri"/>
        <family val="2"/>
      </rPr>
      <t>–</t>
    </r>
    <r>
      <rPr>
        <b/>
        <sz val="11"/>
        <color theme="1"/>
        <rFont val="Arial"/>
        <family val="2"/>
      </rPr>
      <t xml:space="preserve"> VOC Emissions from VOC-Containing Materials</t>
    </r>
  </si>
  <si>
    <t>For each VOC-containing material used at your source, enter the requested information in Table 5-B in the manner shown in the example table below.  Do not include VOC emissions from materials that are used in an 'Insignificant Activity', as prescribed in the Instructions for Section 4.</t>
  </si>
  <si>
    <t>Instructions for Section 5 - Table 5-B:  Maximum Potential to Emit (MPTE) - VOC Emissions from VOC-Containing Materials</t>
  </si>
  <si>
    <t>MMBtu</t>
  </si>
  <si>
    <t>Units</t>
  </si>
  <si>
    <t>Comm/Inst Turbine - Diesel</t>
  </si>
  <si>
    <t>Comm/Inst Turbine - Nat Gas</t>
  </si>
  <si>
    <t>Ind. - Natural Gas - &gt;100 MMBtu/hr</t>
  </si>
  <si>
    <t>Ind. - Natural Gas - 10-100 MMBtu/hr</t>
  </si>
  <si>
    <t>Ind. - Natural Gas - &lt;10 MMBtu/hr</t>
  </si>
  <si>
    <t>Ind. Turbine - Diesel</t>
  </si>
  <si>
    <t>Ind. Turbine - Nat Gas</t>
  </si>
  <si>
    <t>Comm/Inst - Natural Gas - &gt;100 MMBtu/hr</t>
  </si>
  <si>
    <t>Comm/Inst - Natural Gas - 10-100 MMBtu/hr</t>
  </si>
  <si>
    <t>Comm/Inst - Natural Gas - &lt;10 MMBtu/hr</t>
  </si>
  <si>
    <t>Ind. - #6 Oil - &gt;100 MMBtu/hr</t>
  </si>
  <si>
    <t>Ind. - #6 Oil - 10-100 MMBtu/hr</t>
  </si>
  <si>
    <t>Ind. - #6 Oil - &lt;10 MMBtu/hr</t>
  </si>
  <si>
    <t>Comm/Inst - #6 Oil - &gt;100 MMBtu/hr</t>
  </si>
  <si>
    <t>Comm/Inst - #6 Oil - 10-100 MMBtu/hr</t>
  </si>
  <si>
    <t>Comm/Inst - #6 Oil - &lt;10 MMBtu/hr</t>
  </si>
  <si>
    <t>Ind. - #1/#2 Oil - &gt;100 MMBtu/hr</t>
  </si>
  <si>
    <t>Ind. - #1/#2 Oil - 10-100 MMBtu/hr</t>
  </si>
  <si>
    <t>Ind. - #1/#2 Oil - &lt;10 MMBtu/hr</t>
  </si>
  <si>
    <t>Comm/Inst - #1/#2 Oil - &gt;100 MMBtu/hr</t>
  </si>
  <si>
    <t>Comm/Inst - #1/#2 Oil - 10-100 MMBtu/hr</t>
  </si>
  <si>
    <t>Comm/Inst - #1/#2 Oil - &lt;10 MMBtu/hr</t>
  </si>
  <si>
    <t>Ind. - #1/#2 Oil - Cogen</t>
  </si>
  <si>
    <t>Ind. - Natural Gas - Cogen</t>
  </si>
  <si>
    <t>Comm/Inst - #1/#2 Oil - Cogen</t>
  </si>
  <si>
    <t>Comm/Inst - Natural Gas - Cogen</t>
  </si>
  <si>
    <t>Ind. - Bituminous - Cogen</t>
  </si>
  <si>
    <t>Comm/Inst - Bituminous - Cogen</t>
  </si>
  <si>
    <t>Ind. - Subbituminous - Cogen</t>
  </si>
  <si>
    <t>Comm/Inst - Subbituminous - Cogen</t>
  </si>
  <si>
    <t>Ind. - Bituminous - Spr-Stoke</t>
  </si>
  <si>
    <t>Ind. - Subbituminous - Spr-Stoke</t>
  </si>
  <si>
    <t>Comm/Inst - Bituminous - Spr-Stoke</t>
  </si>
  <si>
    <t>Comm/Inst - Subbituminous - Spr-Stoke</t>
  </si>
  <si>
    <t>Comm/Inst - LPG (Propane)</t>
  </si>
  <si>
    <t>Comm/Inst - #4 Oil</t>
  </si>
  <si>
    <t>Ind. - LPG (Propane)</t>
  </si>
  <si>
    <t>Ind. - #4 Oil</t>
  </si>
  <si>
    <t>Per-Unit Emission Calculation Table</t>
  </si>
  <si>
    <t>Emission Factors Used in Per-Unit Emission Calculation Table</t>
  </si>
  <si>
    <t>What is your coal's ash and sulfur content?</t>
  </si>
  <si>
    <t>% ash</t>
  </si>
  <si>
    <t>% sulfur</t>
  </si>
  <si>
    <t>These cells contain Efs that must be multiplied by sulfur content</t>
  </si>
  <si>
    <t>These cells contain Efs that must be multiplied by ash content</t>
  </si>
  <si>
    <t>MMgal</t>
  </si>
  <si>
    <t>The emission unit numbers and SCC codes entered on Table 3-A have been automatically imported into Table 5-A.  Information regarding your facility's classification, equipment types, and fuel use rates and/or equipment ratings have been used to calculate emissions from all of your emission units, with the exception of any 'Miscellaneous Emission Units' you may have added.
Table 5-A is designed to calculate the 'worst case scenario' emissions, meaning that if a piece of equipment can operate on multiple types of fuel, it chooses the maximum emission total for each pollutant for the given fuel types.  This avoids 'double-counting' pollutant emissions.
If you have any 'Miscellaneous Emission Units', proceed to the instructions that follow.  Otherwise, review the emission calculations presented on this page for accuracy.  The emission factors used to calculate emissions from your equipment have been obtained from EPA's WebFIRE emission factor system.  If you have any performance test data or manufacturer emissions data that you would like to use in place of standard emission factors, please contact the LLCHD Air Quality Program for assistance.</t>
  </si>
  <si>
    <t>ton</t>
  </si>
  <si>
    <t>Table 7-D:  Actual Potential to Emit and Operating / Construction Permit Thresholds</t>
  </si>
  <si>
    <t>Instructions for Section 7 - Table 7-D:  Actual Potential to Emit and Construction Permit Thresholds</t>
  </si>
  <si>
    <t xml:space="preserve">Table 7-D does not require any user inputs.  This table serves to compare your facility's actual potential to emit (APTE) to the operating permit thresholds established in the LLCAPCPRS.  </t>
  </si>
  <si>
    <t>Instructions for Section 7 - Table 7-C:  Facility Wide APTE - HAP Emissions from HAP-Containing Materials</t>
  </si>
  <si>
    <t>As seen in the example table below, the material name, HAP names, and maximum annual throughput entered on Table 5-C have been automatically imported into Table 7-C.  In addition, the associated release factors have been imported as well.  Proceed with completing Table 7-C as follows:</t>
  </si>
  <si>
    <r>
      <t xml:space="preserve">Table 7-C:  APTE </t>
    </r>
    <r>
      <rPr>
        <b/>
        <sz val="11"/>
        <color theme="1"/>
        <rFont val="Calibri"/>
        <family val="2"/>
      </rPr>
      <t>–</t>
    </r>
    <r>
      <rPr>
        <b/>
        <sz val="11"/>
        <color theme="1"/>
        <rFont val="Arial"/>
        <family val="2"/>
      </rPr>
      <t xml:space="preserve"> HAP Emissions from HAP-Containing Materials</t>
    </r>
  </si>
  <si>
    <t>Instructions for Section 7 - Table 7-B:  Facility-Wide APTE - VOC Emissions from VOC-Containing Materials</t>
  </si>
  <si>
    <t>As seen in the example table below, the material name, manufacturer, purpose, and maximum annual throughput entered on Table 5-B have been automatically imported into Table 7-B.  In addition, the associated release factors have been imported as well.  Proceed with completing Table 7-B as follows:</t>
  </si>
  <si>
    <t>Please review the information presented in Table 7-B for accuracy.  If you find errors or inconsistent data, please contact the Department for assistance.</t>
  </si>
  <si>
    <r>
      <t xml:space="preserve">Table 7-B:  APTE </t>
    </r>
    <r>
      <rPr>
        <b/>
        <sz val="11"/>
        <color theme="1"/>
        <rFont val="Calibri"/>
        <family val="2"/>
      </rPr>
      <t>–</t>
    </r>
    <r>
      <rPr>
        <b/>
        <sz val="11"/>
        <color theme="1"/>
        <rFont val="Arial"/>
        <family val="2"/>
      </rPr>
      <t xml:space="preserve"> VOC Emissions from VOC-Containing Materials</t>
    </r>
  </si>
  <si>
    <t>Conv. Factors</t>
  </si>
  <si>
    <t>As seen in the Table 6-A below, the emission unit numbers and SCC codes entered on Table 3-A have been automatically imported.  In addition, the calculated maximum annual throughput rates and throughput units from Table 5-A have been imported as well.</t>
  </si>
  <si>
    <t>Table 5-D:  Maximum Potential to Emit and Operating / Construction Permit Thresholds</t>
  </si>
  <si>
    <t>If you have other emission units at your facility, such as boilers than cannot be accommodated by the built-in SCC codes included in this workbook, more boilers, turbines, or engines than this workbook allows, or any other emissions equipment that is part of your source but not directly related to your Physical Plant, these units need to be included as 'Miscellaneous Emission Units'.  After you have completed filling in all emission unit information for your Physical Plant, scroll down to the portion of Table 3-A designated for Miscellaneous Emission Units.
For the Emission "Point #", add '1' to the last emission point number that appears in Table 3-A.  For example, if the last Emission Unit # is '16-1', then the first emission point number under the Miscellaneous Emission Units would be '17'.  For each emission unit, you must also assign a 'Segment #'.  If there's only one process associated with that unit, then the emission segment number should be '1'.  If the emission unit has multiple processes, then continue numbering '1', '2', '3', and so on for each additional process.  Continue this numbering scheme for each miscellaneous emission unit at your facility.  An example is provided below.</t>
  </si>
  <si>
    <r>
      <t>GHGs
(CO</t>
    </r>
    <r>
      <rPr>
        <vertAlign val="subscript"/>
        <sz val="11"/>
        <color theme="1"/>
        <rFont val="Calibri"/>
        <family val="2"/>
        <scheme val="minor"/>
      </rPr>
      <t>2</t>
    </r>
    <r>
      <rPr>
        <b/>
        <sz val="11"/>
        <color theme="1"/>
        <rFont val="Calibri"/>
        <family val="2"/>
        <scheme val="minor"/>
      </rPr>
      <t>e</t>
    </r>
    <r>
      <rPr>
        <sz val="11"/>
        <color theme="1"/>
        <rFont val="Calibri"/>
        <family val="2"/>
        <scheme val="minor"/>
      </rPr>
      <t>)</t>
    </r>
  </si>
  <si>
    <t>The link below will take you to a list of ALL Federal Regulations (listed only by 'Part' number) that have been established by the EPA.  For ease of use, the most commonly referenced air rules have been listed below by Part number, with a corresponding description.</t>
  </si>
  <si>
    <t>Title 40, Chapter 4 of the Code of Federal Regulations (40 CFR)</t>
  </si>
  <si>
    <t>Part 50</t>
  </si>
  <si>
    <t>National Ambient Air Quality Standards (NAAQS)</t>
  </si>
  <si>
    <t>Part 60</t>
  </si>
  <si>
    <t>New Source Performance Standards (NSPS)</t>
  </si>
  <si>
    <t>Part 61</t>
  </si>
  <si>
    <t>National Emission Standards for Hazardous Air Pollutants (NESHAPs)</t>
  </si>
  <si>
    <t>Part 63</t>
  </si>
  <si>
    <t>NESHAP Maximum Achievable Control Technology (MACT) Standards</t>
  </si>
  <si>
    <t>Part 64</t>
  </si>
  <si>
    <t>Compliance Assurance Monitoring (CAM)</t>
  </si>
  <si>
    <t>Part 68</t>
  </si>
  <si>
    <t>Chemical Accident Prevention Provisions</t>
  </si>
  <si>
    <t>Part 82</t>
  </si>
  <si>
    <t>Protection of Stratospheric Ozone</t>
  </si>
  <si>
    <t>Parts 72-78</t>
  </si>
  <si>
    <t>Acid Rain Provisions</t>
  </si>
  <si>
    <t>IF YOU HAVE ANY FURTHER QUESTIONS OR REQUIRE ANY ASSISTANCE IN COMPLETING THIS FORM, PLEASE CONTACT THE LLCHD AIR QUALITY PROGRAM AT (402) 441-8040, AND ASK TO SPEAK TO SOMEONE ABOUT 'AIR QUALITY PERMITS'.</t>
  </si>
  <si>
    <t>2017 NAICS Code</t>
  </si>
  <si>
    <t>2017 NAICS Title</t>
  </si>
  <si>
    <t xml:space="preserve">Broilers and Other Meat Type Chicken Production </t>
  </si>
  <si>
    <t>Crude Petroleum Extraction </t>
  </si>
  <si>
    <t xml:space="preserve">Natural Gas Extraction </t>
  </si>
  <si>
    <t xml:space="preserve">Copper, Nickel, Lead, and Zinc Mining </t>
  </si>
  <si>
    <t xml:space="preserve">Textile and Fabric Finishing Mills </t>
  </si>
  <si>
    <t xml:space="preserve">Measuring, Dispensing, and Other Pumping Equipment Manufacturing </t>
  </si>
  <si>
    <t xml:space="preserve">Major Household Appliance Manufacturing </t>
  </si>
  <si>
    <t xml:space="preserve">Department Stores </t>
  </si>
  <si>
    <t xml:space="preserve">Electronic Shopping and Mail-Order Houses </t>
  </si>
  <si>
    <t>Record Production and Distribution</t>
  </si>
  <si>
    <t xml:space="preserve">Research and Development in Nanotechnology </t>
  </si>
  <si>
    <t>Research and Development in Biotechnology (except Nanobiotechnology)</t>
  </si>
  <si>
    <t xml:space="preserve">Research and Development in the Physical, Engineering, and Life Sciences (except Nanotechnology and Biotechnology) </t>
  </si>
  <si>
    <t xml:space="preserve">Executive Search Services </t>
  </si>
  <si>
    <t xml:space="preserve">Telephone Answering Services </t>
  </si>
  <si>
    <t xml:space="preserve">Rooming and Boarding Houses, Dormitories, and Workers' Camps </t>
  </si>
  <si>
    <t>Last Updated:</t>
  </si>
  <si>
    <t xml:space="preserve">The North American Industry Classification System (NAICS) code for your facility can be found at the address below. </t>
  </si>
  <si>
    <t>Table 4-A:  Insignificant Activities List</t>
  </si>
  <si>
    <t>LLCAPCPRS Article 2, Section 20, paragraph (A) &amp; Table 20-2:  Process Weight Rate Particulate Emission Stds.</t>
  </si>
  <si>
    <t>LLCAPCPRS Article 2, Section 20, paragraph (B) &amp; Table 20-1:  Heat Input Rate Particulate Emission Stds.</t>
  </si>
  <si>
    <t>LLCAPCPRS Article 2, Section 22, paragraph (B):  Particulate Emission Stds. for Incinerators &amp; Burn-Ovens</t>
  </si>
  <si>
    <t>LLCAPCPRS Article 2, Section 22, paragraph (H):  Standards for Air Curtain Incinerators</t>
  </si>
  <si>
    <t>LLCAPCPRS Article 2, Section 22, paragraph (I):  Standards for Pathological Material Incinerators</t>
  </si>
  <si>
    <t xml:space="preserve">        Yes
        No  or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</si>
</sst>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
    <numFmt numFmtId="165" formatCode="#,##0.0"/>
    <numFmt numFmtId="166" formatCode="#####\-##\-#"/>
    <numFmt numFmtId="167" formatCode="0.000000"/>
    <numFmt numFmtId="168" formatCode="[&lt;=9999999]###\-####;\(###\)\ ###\-####"/>
    <numFmt numFmtId="169" formatCode="00000"/>
    <numFmt numFmtId="170" formatCode="[$-409]mmmm\ d\,\ yyyy;@"/>
    <numFmt numFmtId="171" formatCode="00\º"/>
    <numFmt numFmtId="172" formatCode="00\'"/>
    <numFmt numFmtId="173" formatCode="00\&quot;"/>
    <numFmt numFmtId="174" formatCode="\-0.000000"/>
    <numFmt numFmtId="175" formatCode="0.\ \ "/>
    <numFmt numFmtId="176" formatCode="0.0000"/>
    <numFmt numFmtId="177" formatCode="#,##0.0000"/>
    <numFmt numFmtId="178" formatCode="000"/>
    <numFmt numFmtId="179" formatCode="000000"/>
    <numFmt numFmtId="180" formatCode="0.000%"/>
    <numFmt numFmtId="181" formatCode="#.&quot;  &quot;"/>
    <numFmt numFmtId="182" formatCode="#,##0.000"/>
    <numFmt numFmtId="183" formatCode="mmmm\ yyyy"/>
  </numFmts>
  <fonts count="80"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10"/>
      <name val="Arial"/>
      <family val="2"/>
    </font>
    <font>
      <u/>
      <sz val="10"/>
      <color indexed="12"/>
      <name val="Arial"/>
      <family val="2"/>
    </font>
    <font>
      <u/>
      <sz val="11.5"/>
      <color theme="4" tint="-0.499984740745262"/>
      <name val="Arial"/>
      <family val="2"/>
    </font>
    <font>
      <b/>
      <sz val="11"/>
      <color theme="1"/>
      <name val="Arial"/>
      <family val="2"/>
    </font>
    <font>
      <sz val="11"/>
      <color theme="1"/>
      <name val="Arial"/>
      <family val="2"/>
    </font>
    <font>
      <b/>
      <sz val="10"/>
      <color theme="1"/>
      <name val="Arial"/>
      <family val="2"/>
    </font>
    <font>
      <b/>
      <i/>
      <sz val="12"/>
      <color theme="1"/>
      <name val="Arial"/>
      <family val="2"/>
    </font>
    <font>
      <i/>
      <sz val="10"/>
      <color theme="1"/>
      <name val="Arial"/>
      <family val="2"/>
    </font>
    <font>
      <b/>
      <sz val="12"/>
      <color theme="1"/>
      <name val="Arial"/>
      <family val="2"/>
    </font>
    <font>
      <b/>
      <vertAlign val="subscript"/>
      <sz val="11"/>
      <color theme="1"/>
      <name val="Arial"/>
      <family val="2"/>
    </font>
    <font>
      <b/>
      <i/>
      <sz val="11"/>
      <color theme="1"/>
      <name val="Arial"/>
      <family val="2"/>
    </font>
    <font>
      <b/>
      <i/>
      <u/>
      <sz val="11"/>
      <color theme="1"/>
      <name val="Arial"/>
      <family val="2"/>
    </font>
    <font>
      <b/>
      <sz val="11"/>
      <color theme="1"/>
      <name val="Calibri"/>
      <family val="2"/>
      <scheme val="minor"/>
    </font>
    <font>
      <vertAlign val="superscript"/>
      <sz val="11"/>
      <color theme="1"/>
      <name val="Arial"/>
      <family val="2"/>
    </font>
    <font>
      <i/>
      <sz val="10"/>
      <name val="Arial"/>
      <family val="2"/>
    </font>
    <font>
      <sz val="12"/>
      <color theme="1"/>
      <name val="Arial"/>
      <family val="2"/>
    </font>
    <font>
      <b/>
      <sz val="11"/>
      <name val="Arial"/>
      <family val="2"/>
    </font>
    <font>
      <b/>
      <u/>
      <sz val="12"/>
      <color indexed="12"/>
      <name val="Arial"/>
      <family val="2"/>
    </font>
    <font>
      <b/>
      <sz val="10"/>
      <name val="Arial"/>
      <family val="2"/>
    </font>
    <font>
      <b/>
      <sz val="16"/>
      <name val="Arial"/>
      <family val="2"/>
    </font>
    <font>
      <b/>
      <sz val="12"/>
      <color theme="0"/>
      <name val="Arial"/>
      <family val="2"/>
    </font>
    <font>
      <vertAlign val="subscript"/>
      <sz val="12"/>
      <color theme="1"/>
      <name val="Arial"/>
      <family val="2"/>
    </font>
    <font>
      <b/>
      <u/>
      <sz val="11"/>
      <color theme="1"/>
      <name val="Arial"/>
      <family val="2"/>
    </font>
    <font>
      <b/>
      <u/>
      <sz val="11"/>
      <color indexed="12"/>
      <name val="Arial"/>
      <family val="2"/>
    </font>
    <font>
      <b/>
      <sz val="14"/>
      <color theme="1"/>
      <name val="Arial"/>
      <family val="2"/>
    </font>
    <font>
      <b/>
      <sz val="13"/>
      <color theme="1"/>
      <name val="Arial"/>
      <family val="2"/>
    </font>
    <font>
      <sz val="10"/>
      <color theme="1"/>
      <name val="Calibri"/>
      <family val="2"/>
      <scheme val="minor"/>
    </font>
    <font>
      <sz val="8"/>
      <color rgb="FF000000"/>
      <name val="Tahoma"/>
      <family val="2"/>
    </font>
    <font>
      <b/>
      <sz val="11"/>
      <color indexed="8"/>
      <name val="Arial"/>
      <family val="2"/>
    </font>
    <font>
      <i/>
      <sz val="11"/>
      <color theme="1"/>
      <name val="Arial"/>
      <family val="2"/>
    </font>
    <font>
      <b/>
      <sz val="11"/>
      <color theme="1"/>
      <name val="Calibri"/>
      <family val="2"/>
    </font>
    <font>
      <b/>
      <sz val="16"/>
      <color theme="1"/>
      <name val="Calibri"/>
      <family val="2"/>
      <scheme val="minor"/>
    </font>
    <font>
      <b/>
      <u/>
      <sz val="11"/>
      <color theme="1"/>
      <name val="Calibri"/>
      <family val="2"/>
      <scheme val="minor"/>
    </font>
    <font>
      <b/>
      <i/>
      <sz val="11"/>
      <color theme="1"/>
      <name val="Calibri"/>
      <family val="2"/>
      <scheme val="minor"/>
    </font>
    <font>
      <b/>
      <sz val="14"/>
      <color rgb="FFFF0000"/>
      <name val="Calibri"/>
      <family val="2"/>
      <scheme val="minor"/>
    </font>
    <font>
      <sz val="11"/>
      <name val="Arial"/>
      <family val="2"/>
    </font>
    <font>
      <b/>
      <sz val="14"/>
      <color theme="1"/>
      <name val="Calibri"/>
      <family val="2"/>
      <scheme val="minor"/>
    </font>
    <font>
      <b/>
      <sz val="12"/>
      <color theme="1"/>
      <name val="Calibri"/>
      <family val="2"/>
      <scheme val="minor"/>
    </font>
    <font>
      <sz val="11"/>
      <color theme="0" tint="-0.14999847407452621"/>
      <name val="Calibri"/>
      <family val="2"/>
      <scheme val="minor"/>
    </font>
    <font>
      <b/>
      <sz val="12"/>
      <color rgb="FF0000FF"/>
      <name val="Calibri"/>
      <family val="2"/>
      <scheme val="minor"/>
    </font>
    <font>
      <b/>
      <vertAlign val="subscript"/>
      <sz val="11"/>
      <color theme="1"/>
      <name val="Calibri"/>
      <family val="2"/>
      <scheme val="minor"/>
    </font>
    <font>
      <b/>
      <u/>
      <sz val="11"/>
      <color indexed="12"/>
      <name val="Calibri"/>
      <family val="2"/>
      <scheme val="minor"/>
    </font>
    <font>
      <b/>
      <sz val="11"/>
      <name val="Calibri"/>
      <family val="2"/>
      <scheme val="minor"/>
    </font>
    <font>
      <b/>
      <u/>
      <sz val="11"/>
      <name val="Calibri"/>
      <family val="2"/>
      <scheme val="minor"/>
    </font>
    <font>
      <b/>
      <sz val="11"/>
      <color indexed="12"/>
      <name val="Arial"/>
      <family val="2"/>
    </font>
    <font>
      <sz val="11"/>
      <color indexed="12"/>
      <name val="Arial"/>
      <family val="2"/>
    </font>
    <font>
      <sz val="11"/>
      <name val="Calibri"/>
      <family val="2"/>
      <scheme val="minor"/>
    </font>
    <font>
      <sz val="11"/>
      <color theme="0" tint="-0.14999847407452621"/>
      <name val="Arial"/>
      <family val="2"/>
    </font>
    <font>
      <b/>
      <sz val="12"/>
      <name val="Calibri"/>
      <family val="2"/>
      <scheme val="minor"/>
    </font>
    <font>
      <u/>
      <sz val="12"/>
      <color indexed="12"/>
      <name val="Calibri"/>
      <family val="2"/>
      <scheme val="minor"/>
    </font>
    <font>
      <b/>
      <sz val="13"/>
      <color theme="1"/>
      <name val="Calibri"/>
      <family val="2"/>
      <scheme val="minor"/>
    </font>
    <font>
      <sz val="11"/>
      <color theme="1"/>
      <name val="Calibri"/>
      <family val="2"/>
    </font>
    <font>
      <i/>
      <u/>
      <sz val="11"/>
      <color theme="1"/>
      <name val="Arial"/>
      <family val="2"/>
    </font>
    <font>
      <b/>
      <sz val="8"/>
      <color theme="1"/>
      <name val="Calibri"/>
      <family val="2"/>
      <scheme val="minor"/>
    </font>
    <font>
      <b/>
      <vertAlign val="subscript"/>
      <sz val="10"/>
      <color theme="1"/>
      <name val="Arial"/>
      <family val="2"/>
    </font>
    <font>
      <b/>
      <sz val="5"/>
      <color theme="1"/>
      <name val="Calibri"/>
      <family val="2"/>
      <scheme val="minor"/>
    </font>
    <font>
      <sz val="11"/>
      <color rgb="FFFF0000"/>
      <name val="Arial"/>
      <family val="2"/>
    </font>
    <font>
      <b/>
      <sz val="11"/>
      <color indexed="12"/>
      <name val="Calibri"/>
      <family val="2"/>
      <scheme val="minor"/>
    </font>
    <font>
      <b/>
      <sz val="14"/>
      <name val="Calibri"/>
      <family val="2"/>
      <scheme val="minor"/>
    </font>
    <font>
      <b/>
      <sz val="10"/>
      <color theme="1"/>
      <name val="Calibri"/>
      <family val="2"/>
      <scheme val="minor"/>
    </font>
    <font>
      <sz val="11"/>
      <color theme="5"/>
      <name val="Calibri"/>
      <family val="2"/>
      <scheme val="minor"/>
    </font>
    <font>
      <b/>
      <i/>
      <sz val="12"/>
      <color theme="1"/>
      <name val="Calibri"/>
      <family val="2"/>
      <scheme val="minor"/>
    </font>
    <font>
      <b/>
      <i/>
      <sz val="14"/>
      <color theme="1"/>
      <name val="Calibri"/>
      <family val="2"/>
      <scheme val="minor"/>
    </font>
    <font>
      <vertAlign val="subscript"/>
      <sz val="11"/>
      <color theme="1"/>
      <name val="Calibri"/>
      <family val="2"/>
      <scheme val="minor"/>
    </font>
    <font>
      <vertAlign val="subscript"/>
      <sz val="11"/>
      <name val="Calibri"/>
      <family val="2"/>
      <scheme val="minor"/>
    </font>
    <font>
      <b/>
      <u/>
      <sz val="12"/>
      <color theme="1"/>
      <name val="Calibri"/>
      <family val="2"/>
      <scheme val="minor"/>
    </font>
    <font>
      <b/>
      <i/>
      <u/>
      <sz val="12"/>
      <color theme="1"/>
      <name val="Calibri"/>
      <family val="2"/>
      <scheme val="minor"/>
    </font>
    <font>
      <sz val="12"/>
      <color theme="1" tint="0.34998626667073579"/>
      <name val="Arial"/>
      <family val="2"/>
    </font>
    <font>
      <sz val="13"/>
      <color theme="1"/>
      <name val="Calibri"/>
      <family val="2"/>
      <scheme val="minor"/>
    </font>
    <font>
      <b/>
      <u/>
      <sz val="14"/>
      <color rgb="FFFF0000"/>
      <name val="Calibri"/>
      <family val="2"/>
      <scheme val="minor"/>
    </font>
    <font>
      <u/>
      <sz val="11"/>
      <color theme="1"/>
      <name val="Calibri"/>
      <family val="2"/>
      <scheme val="minor"/>
    </font>
    <font>
      <sz val="9"/>
      <color theme="1"/>
      <name val="Arial"/>
      <family val="2"/>
    </font>
    <font>
      <sz val="11"/>
      <color theme="0" tint="-0.499984740745262"/>
      <name val="Arial"/>
      <family val="2"/>
    </font>
    <font>
      <sz val="11"/>
      <color theme="0" tint="-0.499984740745262"/>
      <name val="Calibri"/>
      <family val="2"/>
      <scheme val="minor"/>
    </font>
    <font>
      <b/>
      <sz val="16"/>
      <color rgb="FFFF0000"/>
      <name val="Calibri"/>
      <family val="2"/>
      <scheme val="minor"/>
    </font>
    <font>
      <b/>
      <sz val="11"/>
      <color theme="0" tint="-0.14999847407452621"/>
      <name val="Calibri"/>
      <family val="2"/>
      <scheme val="minor"/>
    </font>
  </fonts>
  <fills count="23">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4"/>
        <bgColor theme="4"/>
      </patternFill>
    </fill>
    <fill>
      <patternFill patternType="solid">
        <fgColor theme="0" tint="-0.14999847407452621"/>
        <bgColor theme="0" tint="-0.14999847407452621"/>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darkUp">
        <bgColor auto="1"/>
      </patternFill>
    </fill>
    <fill>
      <patternFill patternType="darkUp">
        <bgColor theme="0" tint="-0.14996795556505021"/>
      </patternFill>
    </fill>
    <fill>
      <patternFill patternType="solid">
        <fgColor theme="1" tint="0.499984740745262"/>
        <bgColor indexed="64"/>
      </patternFill>
    </fill>
    <fill>
      <patternFill patternType="solid">
        <fgColor theme="1"/>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1" tint="0.249977111117893"/>
        <bgColor indexed="64"/>
      </patternFill>
    </fill>
    <fill>
      <patternFill patternType="solid">
        <fgColor rgb="FF92D050"/>
        <bgColor indexed="64"/>
      </patternFill>
    </fill>
  </fills>
  <borders count="2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medium">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bottom style="thin">
        <color indexed="64"/>
      </bottom>
      <diagonal/>
    </border>
    <border>
      <left/>
      <right/>
      <top style="medium">
        <color indexed="64"/>
      </top>
      <bottom style="thin">
        <color indexed="64"/>
      </bottom>
      <diagonal/>
    </border>
    <border>
      <left/>
      <right/>
      <top/>
      <bottom style="hair">
        <color indexed="64"/>
      </bottom>
      <diagonal/>
    </border>
    <border>
      <left/>
      <right/>
      <top style="thin">
        <color indexed="64"/>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bottom/>
      <diagonal/>
    </border>
    <border>
      <left style="hair">
        <color indexed="64"/>
      </left>
      <right/>
      <top style="medium">
        <color indexed="64"/>
      </top>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hair">
        <color indexed="64"/>
      </right>
      <top style="thin">
        <color indexed="64"/>
      </top>
      <bottom/>
      <diagonal/>
    </border>
    <border>
      <left/>
      <right style="medium">
        <color indexed="64"/>
      </right>
      <top style="thin">
        <color indexed="64"/>
      </top>
      <bottom style="hair">
        <color indexed="64"/>
      </bottom>
      <diagonal/>
    </border>
    <border>
      <left style="medium">
        <color indexed="64"/>
      </left>
      <right style="hair">
        <color indexed="64"/>
      </right>
      <top/>
      <bottom/>
      <diagonal/>
    </border>
    <border>
      <left/>
      <right style="medium">
        <color indexed="64"/>
      </right>
      <top/>
      <bottom style="hair">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hair">
        <color indexed="64"/>
      </top>
      <bottom style="hair">
        <color indexed="64"/>
      </bottom>
      <diagonal/>
    </border>
    <border>
      <left/>
      <right style="thick">
        <color auto="1"/>
      </right>
      <top style="medium">
        <color auto="1"/>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bottom style="medium">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bottom style="hair">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bottom/>
      <diagonal/>
    </border>
    <border>
      <left style="thin">
        <color indexed="64"/>
      </left>
      <right/>
      <top/>
      <bottom/>
      <diagonal/>
    </border>
    <border>
      <left/>
      <right style="thin">
        <color indexed="64"/>
      </right>
      <top style="hair">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ck">
        <color auto="1"/>
      </bottom>
      <diagonal/>
    </border>
    <border>
      <left style="thin">
        <color indexed="64"/>
      </left>
      <right/>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right style="thin">
        <color indexed="64"/>
      </right>
      <top style="hair">
        <color indexed="64"/>
      </top>
      <bottom style="thick">
        <color auto="1"/>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top style="thick">
        <color auto="1"/>
      </top>
      <bottom style="thin">
        <color auto="1"/>
      </bottom>
      <diagonal/>
    </border>
    <border>
      <left style="thin">
        <color indexed="64"/>
      </left>
      <right style="thin">
        <color indexed="64"/>
      </right>
      <top/>
      <bottom/>
      <diagonal/>
    </border>
    <border>
      <left/>
      <right/>
      <top style="thick">
        <color indexed="64"/>
      </top>
      <bottom style="thick">
        <color indexed="64"/>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style="thick">
        <color indexed="64"/>
      </bottom>
      <diagonal/>
    </border>
    <border>
      <left style="medium">
        <color indexed="64"/>
      </left>
      <right style="medium">
        <color indexed="64"/>
      </right>
      <top style="hair">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23">
    <xf numFmtId="0" fontId="0" fillId="0" borderId="0"/>
    <xf numFmtId="0" fontId="3" fillId="0" borderId="0"/>
    <xf numFmtId="43" fontId="4" fillId="0" borderId="0" applyFont="0" applyFill="0" applyBorder="0" applyAlignment="0" applyProtection="0"/>
    <xf numFmtId="44" fontId="4"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1"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1639">
    <xf numFmtId="0" fontId="0" fillId="0" borderId="0" xfId="0"/>
    <xf numFmtId="0" fontId="0" fillId="0" borderId="0" xfId="0" applyAlignment="1">
      <alignment horizontal="center" vertical="center"/>
    </xf>
    <xf numFmtId="0" fontId="3" fillId="6" borderId="0" xfId="1" applyFill="1"/>
    <xf numFmtId="166" fontId="3" fillId="6" borderId="0" xfId="1" applyNumberFormat="1" applyFill="1" applyAlignment="1">
      <alignment horizontal="center"/>
    </xf>
    <xf numFmtId="0" fontId="3" fillId="6" borderId="0" xfId="1" applyFill="1" applyAlignment="1">
      <alignment horizontal="center"/>
    </xf>
    <xf numFmtId="0" fontId="22" fillId="6" borderId="0" xfId="1" applyFont="1" applyFill="1"/>
    <xf numFmtId="0" fontId="24" fillId="4" borderId="19" xfId="1" applyFont="1" applyFill="1" applyBorder="1"/>
    <xf numFmtId="166" fontId="24" fillId="4" borderId="20" xfId="1" applyNumberFormat="1" applyFont="1" applyFill="1" applyBorder="1" applyAlignment="1">
      <alignment horizontal="center"/>
    </xf>
    <xf numFmtId="0" fontId="24" fillId="4" borderId="53" xfId="1" applyFont="1" applyFill="1" applyBorder="1" applyAlignment="1">
      <alignment horizontal="center"/>
    </xf>
    <xf numFmtId="0" fontId="19" fillId="0" borderId="26" xfId="1" applyFont="1" applyBorder="1" applyAlignment="1">
      <alignment horizontal="left"/>
    </xf>
    <xf numFmtId="166" fontId="19" fillId="0" borderId="0" xfId="1" applyNumberFormat="1" applyFont="1" applyAlignment="1">
      <alignment horizontal="center"/>
    </xf>
    <xf numFmtId="0" fontId="19" fillId="0" borderId="54" xfId="1" applyFont="1" applyBorder="1" applyAlignment="1">
      <alignment horizontal="center"/>
    </xf>
    <xf numFmtId="0" fontId="19" fillId="5" borderId="26" xfId="1" applyFont="1" applyFill="1" applyBorder="1" applyAlignment="1">
      <alignment horizontal="left"/>
    </xf>
    <xf numFmtId="166" fontId="19" fillId="5" borderId="0" xfId="1" applyNumberFormat="1" applyFont="1" applyFill="1" applyAlignment="1">
      <alignment horizontal="center"/>
    </xf>
    <xf numFmtId="0" fontId="19" fillId="5" borderId="54" xfId="1" applyFont="1" applyFill="1" applyBorder="1" applyAlignment="1">
      <alignment horizontal="center"/>
    </xf>
    <xf numFmtId="0" fontId="19" fillId="0" borderId="55" xfId="1" applyFont="1" applyBorder="1" applyAlignment="1">
      <alignment horizontal="left"/>
    </xf>
    <xf numFmtId="166" fontId="19" fillId="0" borderId="56" xfId="1" applyNumberFormat="1" applyFont="1" applyBorder="1" applyAlignment="1">
      <alignment horizontal="center"/>
    </xf>
    <xf numFmtId="0" fontId="19" fillId="0" borderId="57" xfId="1" applyFont="1" applyBorder="1" applyAlignment="1">
      <alignment horizontal="center"/>
    </xf>
    <xf numFmtId="0" fontId="19" fillId="6" borderId="0" xfId="0" applyFont="1" applyFill="1" applyAlignment="1">
      <alignment vertical="center"/>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0" fillId="6" borderId="0" xfId="0" applyFill="1"/>
    <xf numFmtId="0" fontId="7" fillId="8" borderId="2" xfId="0" applyFont="1" applyFill="1" applyBorder="1" applyAlignment="1">
      <alignment horizontal="center" vertical="center" wrapText="1"/>
    </xf>
    <xf numFmtId="0" fontId="7" fillId="8" borderId="15" xfId="0" applyFont="1" applyFill="1" applyBorder="1" applyAlignment="1">
      <alignment horizontal="center" vertical="center" wrapText="1"/>
    </xf>
    <xf numFmtId="4" fontId="19" fillId="0" borderId="2" xfId="0" applyNumberFormat="1" applyFont="1" applyBorder="1" applyAlignment="1">
      <alignment horizontal="center" vertical="center" wrapText="1"/>
    </xf>
    <xf numFmtId="4" fontId="19" fillId="0" borderId="1" xfId="0" applyNumberFormat="1" applyFont="1" applyBorder="1" applyAlignment="1">
      <alignment horizontal="center" vertical="center" wrapText="1"/>
    </xf>
    <xf numFmtId="0" fontId="8" fillId="0" borderId="0" xfId="0" applyFont="1" applyAlignment="1">
      <alignment horizontal="center" vertical="center"/>
    </xf>
    <xf numFmtId="4"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4" xfId="0" applyFont="1" applyBorder="1" applyAlignment="1">
      <alignment vertical="center"/>
    </xf>
    <xf numFmtId="0" fontId="7" fillId="0" borderId="73" xfId="0" applyFont="1" applyBorder="1" applyAlignment="1">
      <alignment vertical="center"/>
    </xf>
    <xf numFmtId="0" fontId="7" fillId="0" borderId="86" xfId="0" applyFont="1" applyBorder="1" applyAlignment="1">
      <alignment vertical="center"/>
    </xf>
    <xf numFmtId="0" fontId="7" fillId="0" borderId="88" xfId="0" applyFont="1" applyBorder="1" applyAlignment="1">
      <alignment vertical="center"/>
    </xf>
    <xf numFmtId="0" fontId="7" fillId="0" borderId="88" xfId="0" applyFont="1" applyBorder="1" applyAlignment="1">
      <alignment vertical="center" wrapText="1"/>
    </xf>
    <xf numFmtId="0" fontId="7" fillId="0" borderId="97" xfId="0" applyFont="1" applyBorder="1" applyAlignment="1">
      <alignment vertical="center"/>
    </xf>
    <xf numFmtId="0" fontId="8" fillId="0" borderId="100" xfId="0" applyFont="1" applyBorder="1" applyAlignment="1" applyProtection="1">
      <alignment horizontal="center" vertical="center"/>
      <protection locked="0"/>
    </xf>
    <xf numFmtId="0" fontId="8" fillId="0" borderId="101"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4" xfId="0" applyNumberFormat="1" applyFont="1" applyBorder="1" applyAlignment="1" applyProtection="1">
      <alignment vertical="center"/>
      <protection locked="0"/>
    </xf>
    <xf numFmtId="169" fontId="8" fillId="0" borderId="89" xfId="0" applyNumberFormat="1"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19" fillId="11" borderId="0" xfId="0" applyFont="1" applyFill="1" applyAlignment="1">
      <alignment vertical="center"/>
    </xf>
    <xf numFmtId="0" fontId="8" fillId="11" borderId="0" xfId="0" applyFont="1" applyFill="1" applyAlignment="1">
      <alignment vertical="center"/>
    </xf>
    <xf numFmtId="0" fontId="8" fillId="11" borderId="0" xfId="0" applyFont="1" applyFill="1" applyAlignment="1">
      <alignment horizontal="left" vertical="center"/>
    </xf>
    <xf numFmtId="0" fontId="7" fillId="11" borderId="0" xfId="0" applyFont="1" applyFill="1" applyAlignment="1">
      <alignment vertical="center"/>
    </xf>
    <xf numFmtId="0" fontId="26" fillId="9" borderId="23" xfId="0" applyFont="1" applyFill="1" applyBorder="1" applyAlignment="1">
      <alignment vertical="center"/>
    </xf>
    <xf numFmtId="0" fontId="8" fillId="9" borderId="24" xfId="0" applyFont="1" applyFill="1" applyBorder="1" applyAlignment="1">
      <alignment vertical="center"/>
    </xf>
    <xf numFmtId="0" fontId="8" fillId="9" borderId="25" xfId="0" applyFont="1" applyFill="1" applyBorder="1" applyAlignment="1">
      <alignment vertical="center"/>
    </xf>
    <xf numFmtId="49" fontId="8" fillId="9" borderId="26" xfId="0" applyNumberFormat="1" applyFont="1" applyFill="1" applyBorder="1" applyAlignment="1">
      <alignment horizontal="right" vertical="top"/>
    </xf>
    <xf numFmtId="49" fontId="7" fillId="9" borderId="26" xfId="0" applyNumberFormat="1" applyFont="1" applyFill="1" applyBorder="1" applyAlignment="1">
      <alignment horizontal="right" vertical="top"/>
    </xf>
    <xf numFmtId="49" fontId="8" fillId="9" borderId="0" xfId="0" applyNumberFormat="1" applyFont="1" applyFill="1" applyAlignment="1">
      <alignment horizontal="right" vertical="top"/>
    </xf>
    <xf numFmtId="49" fontId="8" fillId="9" borderId="0" xfId="0" applyNumberFormat="1" applyFont="1" applyFill="1" applyAlignment="1">
      <alignment vertical="top" wrapText="1"/>
    </xf>
    <xf numFmtId="49" fontId="7" fillId="9" borderId="26" xfId="0" applyNumberFormat="1" applyFont="1" applyFill="1" applyBorder="1" applyAlignment="1">
      <alignment vertical="top"/>
    </xf>
    <xf numFmtId="49" fontId="7" fillId="9" borderId="26" xfId="0" applyNumberFormat="1" applyFont="1" applyFill="1" applyBorder="1" applyAlignment="1">
      <alignment vertical="center" wrapText="1"/>
    </xf>
    <xf numFmtId="0" fontId="7" fillId="9" borderId="28" xfId="0" applyFont="1" applyFill="1" applyBorder="1" applyAlignment="1">
      <alignment vertical="center"/>
    </xf>
    <xf numFmtId="0" fontId="8" fillId="9" borderId="3" xfId="0" applyFont="1" applyFill="1" applyBorder="1" applyAlignment="1">
      <alignment vertical="center"/>
    </xf>
    <xf numFmtId="49" fontId="8" fillId="9" borderId="3" xfId="0" applyNumberFormat="1" applyFont="1" applyFill="1" applyBorder="1" applyAlignment="1">
      <alignment vertical="top" wrapText="1"/>
    </xf>
    <xf numFmtId="49" fontId="8" fillId="9" borderId="29" xfId="0" applyNumberFormat="1" applyFont="1" applyFill="1" applyBorder="1" applyAlignment="1">
      <alignment vertical="top" wrapText="1"/>
    </xf>
    <xf numFmtId="0" fontId="0" fillId="11" borderId="0" xfId="0" applyFill="1"/>
    <xf numFmtId="0" fontId="0" fillId="11" borderId="0" xfId="0" applyFill="1" applyAlignment="1">
      <alignment vertical="top"/>
    </xf>
    <xf numFmtId="0" fontId="0" fillId="11" borderId="0" xfId="0" applyFill="1" applyAlignment="1">
      <alignment horizontal="center" vertical="center"/>
    </xf>
    <xf numFmtId="0" fontId="8" fillId="11" borderId="0" xfId="0" applyFont="1" applyFill="1" applyAlignment="1">
      <alignment horizontal="center" vertical="center" wrapText="1"/>
    </xf>
    <xf numFmtId="0" fontId="0" fillId="11" borderId="0" xfId="0" applyFill="1" applyAlignment="1">
      <alignment vertical="center"/>
    </xf>
    <xf numFmtId="0" fontId="0" fillId="12" borderId="3" xfId="0" applyFill="1" applyBorder="1" applyAlignment="1">
      <alignment vertical="center"/>
    </xf>
    <xf numFmtId="167" fontId="20" fillId="11" borderId="12" xfId="5" applyNumberFormat="1" applyFont="1" applyFill="1" applyBorder="1" applyAlignment="1" applyProtection="1">
      <alignment horizontal="center" vertical="center" wrapText="1"/>
    </xf>
    <xf numFmtId="167" fontId="20" fillId="11" borderId="12" xfId="0" applyNumberFormat="1" applyFont="1" applyFill="1" applyBorder="1" applyAlignment="1">
      <alignment horizontal="center" vertical="center" wrapText="1"/>
    </xf>
    <xf numFmtId="4" fontId="20" fillId="11" borderId="12" xfId="0" applyNumberFormat="1" applyFont="1" applyFill="1" applyBorder="1" applyAlignment="1">
      <alignment horizontal="center" vertical="center" wrapText="1"/>
    </xf>
    <xf numFmtId="167" fontId="1" fillId="11" borderId="15" xfId="0" applyNumberFormat="1" applyFont="1" applyFill="1" applyBorder="1" applyAlignment="1">
      <alignment horizontal="center" vertical="center" wrapText="1"/>
    </xf>
    <xf numFmtId="4" fontId="8" fillId="11" borderId="15" xfId="0" applyNumberFormat="1" applyFont="1" applyFill="1" applyBorder="1" applyAlignment="1">
      <alignment horizontal="center" vertical="center" wrapText="1"/>
    </xf>
    <xf numFmtId="4" fontId="1" fillId="11" borderId="64" xfId="0" applyNumberFormat="1" applyFont="1" applyFill="1" applyBorder="1" applyAlignment="1">
      <alignment horizontal="center" vertical="center" wrapText="1"/>
    </xf>
    <xf numFmtId="4" fontId="1" fillId="11" borderId="15" xfId="0" applyNumberFormat="1" applyFont="1" applyFill="1" applyBorder="1" applyAlignment="1">
      <alignment horizontal="center" vertical="center" wrapText="1"/>
    </xf>
    <xf numFmtId="0" fontId="0" fillId="12" borderId="20" xfId="0" applyFill="1" applyBorder="1" applyAlignment="1">
      <alignment vertical="center"/>
    </xf>
    <xf numFmtId="0" fontId="16" fillId="11" borderId="0" xfId="0" applyFont="1" applyFill="1" applyAlignment="1">
      <alignment vertical="center"/>
    </xf>
    <xf numFmtId="0" fontId="35" fillId="12" borderId="3" xfId="0" applyFont="1" applyFill="1" applyBorder="1" applyAlignment="1">
      <alignment vertical="center"/>
    </xf>
    <xf numFmtId="0" fontId="39" fillId="11" borderId="0" xfId="0" applyFont="1" applyFill="1" applyAlignment="1">
      <alignment vertical="center"/>
    </xf>
    <xf numFmtId="0" fontId="39" fillId="11" borderId="0" xfId="0" applyFont="1" applyFill="1" applyAlignment="1" applyProtection="1">
      <alignment vertical="center"/>
      <protection locked="0"/>
    </xf>
    <xf numFmtId="0" fontId="8" fillId="11" borderId="0" xfId="0" applyFont="1" applyFill="1" applyAlignment="1" applyProtection="1">
      <alignment vertical="center"/>
      <protection locked="0"/>
    </xf>
    <xf numFmtId="0" fontId="7" fillId="0" borderId="84" xfId="0" applyFont="1" applyBorder="1" applyAlignment="1">
      <alignment vertical="center" wrapText="1"/>
    </xf>
    <xf numFmtId="0" fontId="8" fillId="11" borderId="0" xfId="0" applyFont="1" applyFill="1" applyAlignment="1" applyProtection="1">
      <alignment horizontal="left" vertical="center"/>
      <protection locked="0"/>
    </xf>
    <xf numFmtId="0" fontId="38" fillId="11" borderId="3" xfId="0" applyFont="1" applyFill="1" applyBorder="1" applyAlignment="1">
      <alignment horizontal="center" vertical="center" wrapText="1"/>
    </xf>
    <xf numFmtId="0" fontId="42" fillId="11" borderId="0" xfId="0" applyFont="1" applyFill="1" applyAlignment="1">
      <alignment vertical="center"/>
    </xf>
    <xf numFmtId="0" fontId="16" fillId="7" borderId="26" xfId="0" applyFont="1" applyFill="1" applyBorder="1" applyAlignment="1">
      <alignment vertical="center"/>
    </xf>
    <xf numFmtId="0" fontId="16" fillId="7" borderId="0" xfId="0" applyFont="1" applyFill="1" applyAlignment="1">
      <alignment vertical="center"/>
    </xf>
    <xf numFmtId="0" fontId="16" fillId="7" borderId="54" xfId="0" applyFont="1" applyFill="1" applyBorder="1" applyAlignment="1">
      <alignment vertical="center"/>
    </xf>
    <xf numFmtId="0" fontId="40" fillId="12" borderId="20" xfId="0" applyFont="1" applyFill="1" applyBorder="1" applyAlignment="1">
      <alignment horizontal="center" vertical="center"/>
    </xf>
    <xf numFmtId="0" fontId="16" fillId="12" borderId="3" xfId="0" applyFont="1" applyFill="1" applyBorder="1" applyAlignment="1">
      <alignment horizontal="left" vertical="center"/>
    </xf>
    <xf numFmtId="0" fontId="16" fillId="11" borderId="0" xfId="0" applyFont="1" applyFill="1" applyAlignment="1">
      <alignment horizontal="left" vertical="center"/>
    </xf>
    <xf numFmtId="171" fontId="16" fillId="9" borderId="5" xfId="0" applyNumberFormat="1" applyFont="1" applyFill="1" applyBorder="1" applyAlignment="1" applyProtection="1">
      <alignment horizontal="center" vertical="center"/>
      <protection locked="0"/>
    </xf>
    <xf numFmtId="0" fontId="16" fillId="9" borderId="5"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172" fontId="16" fillId="9" borderId="5" xfId="0" applyNumberFormat="1" applyFont="1" applyFill="1" applyBorder="1" applyAlignment="1" applyProtection="1">
      <alignment horizontal="center" vertical="center"/>
      <protection locked="0"/>
    </xf>
    <xf numFmtId="173" fontId="16" fillId="9" borderId="5" xfId="0" applyNumberFormat="1" applyFont="1" applyFill="1" applyBorder="1" applyAlignment="1" applyProtection="1">
      <alignment horizontal="center" vertical="center"/>
      <protection locked="0"/>
    </xf>
    <xf numFmtId="0" fontId="48" fillId="11" borderId="17" xfId="5" applyFont="1" applyFill="1" applyBorder="1" applyAlignment="1" applyProtection="1">
      <alignment horizontal="center" vertical="center" wrapText="1"/>
    </xf>
    <xf numFmtId="0" fontId="7" fillId="11" borderId="25" xfId="0" applyFont="1" applyFill="1" applyBorder="1" applyAlignment="1">
      <alignment horizontal="center" vertical="center" wrapText="1"/>
    </xf>
    <xf numFmtId="0" fontId="8" fillId="11" borderId="0" xfId="0" applyFont="1" applyFill="1"/>
    <xf numFmtId="0" fontId="9" fillId="11" borderId="34" xfId="0" applyFont="1" applyFill="1" applyBorder="1" applyAlignment="1">
      <alignment horizontal="center" vertical="center"/>
    </xf>
    <xf numFmtId="0" fontId="9" fillId="11" borderId="15" xfId="0" applyFont="1" applyFill="1" applyBorder="1" applyAlignment="1">
      <alignment horizontal="center" vertical="center"/>
    </xf>
    <xf numFmtId="0" fontId="9" fillId="11" borderId="33" xfId="0" applyFont="1" applyFill="1" applyBorder="1" applyAlignment="1">
      <alignment horizontal="center" vertical="center"/>
    </xf>
    <xf numFmtId="10" fontId="9" fillId="11" borderId="15" xfId="0" applyNumberFormat="1" applyFont="1" applyFill="1" applyBorder="1" applyAlignment="1">
      <alignment horizontal="center" vertical="center"/>
    </xf>
    <xf numFmtId="0" fontId="9" fillId="11" borderId="29" xfId="0" applyFont="1" applyFill="1" applyBorder="1" applyAlignment="1">
      <alignment horizontal="center" vertical="center"/>
    </xf>
    <xf numFmtId="0" fontId="1" fillId="11" borderId="0" xfId="0" applyFont="1" applyFill="1"/>
    <xf numFmtId="2" fontId="7" fillId="11" borderId="5" xfId="0" applyNumberFormat="1"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1"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29" fillId="11" borderId="0" xfId="0" applyFont="1" applyFill="1" applyAlignment="1">
      <alignment vertical="center"/>
    </xf>
    <xf numFmtId="0" fontId="14" fillId="11" borderId="0" xfId="0" applyFont="1" applyFill="1"/>
    <xf numFmtId="10" fontId="8" fillId="11" borderId="0" xfId="0" applyNumberFormat="1" applyFont="1" applyFill="1"/>
    <xf numFmtId="0" fontId="1" fillId="11" borderId="15" xfId="0" applyFont="1" applyFill="1" applyBorder="1" applyAlignment="1">
      <alignment horizontal="center" vertical="center"/>
    </xf>
    <xf numFmtId="10" fontId="1" fillId="11" borderId="15" xfId="0" applyNumberFormat="1" applyFont="1" applyFill="1" applyBorder="1" applyAlignment="1">
      <alignment horizontal="center" vertical="center"/>
    </xf>
    <xf numFmtId="0" fontId="1" fillId="11" borderId="29" xfId="0" applyFont="1" applyFill="1" applyBorder="1" applyAlignment="1">
      <alignment horizontal="center" vertical="center"/>
    </xf>
    <xf numFmtId="2" fontId="16" fillId="7" borderId="5" xfId="0" applyNumberFormat="1" applyFont="1" applyFill="1" applyBorder="1" applyAlignment="1">
      <alignment horizontal="center" vertical="center"/>
    </xf>
    <xf numFmtId="2" fontId="16" fillId="9" borderId="5" xfId="0" applyNumberFormat="1" applyFont="1" applyFill="1" applyBorder="1" applyAlignment="1" applyProtection="1">
      <alignment horizontal="center" vertical="center"/>
      <protection locked="0"/>
    </xf>
    <xf numFmtId="1" fontId="16" fillId="9" borderId="5" xfId="0" applyNumberFormat="1" applyFont="1" applyFill="1" applyBorder="1" applyAlignment="1" applyProtection="1">
      <alignment horizontal="center" vertical="center"/>
      <protection locked="0"/>
    </xf>
    <xf numFmtId="175" fontId="46" fillId="11" borderId="0" xfId="0" applyNumberFormat="1" applyFont="1" applyFill="1" applyAlignment="1">
      <alignment horizontal="right" vertical="center"/>
    </xf>
    <xf numFmtId="0" fontId="16" fillId="11" borderId="24" xfId="0" applyFont="1" applyFill="1" applyBorder="1" applyAlignment="1">
      <alignment vertical="center" wrapText="1"/>
    </xf>
    <xf numFmtId="0" fontId="16" fillId="11" borderId="0" xfId="0" applyFont="1" applyFill="1" applyAlignment="1">
      <alignment horizontal="left" vertical="center" wrapText="1"/>
    </xf>
    <xf numFmtId="0" fontId="20" fillId="11" borderId="0" xfId="0" applyFont="1" applyFill="1" applyAlignment="1">
      <alignment vertical="center"/>
    </xf>
    <xf numFmtId="0" fontId="8" fillId="11" borderId="0" xfId="0" applyFont="1" applyFill="1" applyAlignment="1">
      <alignment horizontal="center" vertical="center"/>
    </xf>
    <xf numFmtId="0" fontId="8" fillId="11" borderId="1" xfId="0" applyFont="1" applyFill="1" applyBorder="1" applyAlignment="1">
      <alignment vertical="center"/>
    </xf>
    <xf numFmtId="0" fontId="8" fillId="11" borderId="0" xfId="0" quotePrefix="1" applyFont="1" applyFill="1" applyAlignment="1">
      <alignment horizontal="center" vertical="center"/>
    </xf>
    <xf numFmtId="0" fontId="21" fillId="11" borderId="0" xfId="5" applyFont="1" applyFill="1" applyBorder="1" applyAlignment="1" applyProtection="1">
      <alignment horizontal="center" vertical="center"/>
    </xf>
    <xf numFmtId="0" fontId="46" fillId="11" borderId="0" xfId="5" applyFont="1" applyFill="1" applyAlignment="1" applyProtection="1">
      <alignment horizontal="left" vertical="center" wrapText="1"/>
    </xf>
    <xf numFmtId="0" fontId="8" fillId="11" borderId="0" xfId="0" applyFont="1" applyFill="1" applyAlignment="1">
      <alignment vertical="center" wrapText="1"/>
    </xf>
    <xf numFmtId="2" fontId="8" fillId="11" borderId="0" xfId="0" applyNumberFormat="1" applyFont="1" applyFill="1" applyAlignment="1">
      <alignment vertical="center"/>
    </xf>
    <xf numFmtId="0" fontId="0" fillId="11" borderId="138" xfId="0" applyFill="1" applyBorder="1" applyAlignment="1">
      <alignment vertical="center" wrapText="1"/>
    </xf>
    <xf numFmtId="0" fontId="0" fillId="11" borderId="141" xfId="0" applyFill="1" applyBorder="1" applyAlignment="1">
      <alignment vertical="center" wrapText="1"/>
    </xf>
    <xf numFmtId="178" fontId="8" fillId="11" borderId="0" xfId="0" applyNumberFormat="1" applyFont="1" applyFill="1" applyAlignment="1">
      <alignment vertical="center"/>
    </xf>
    <xf numFmtId="0" fontId="16" fillId="11" borderId="139" xfId="0" applyFont="1" applyFill="1" applyBorder="1" applyAlignment="1">
      <alignment horizontal="center" vertical="center" wrapText="1"/>
    </xf>
    <xf numFmtId="178" fontId="51" fillId="11" borderId="0" xfId="0" applyNumberFormat="1" applyFont="1" applyFill="1" applyAlignment="1">
      <alignment horizontal="center" vertical="center"/>
    </xf>
    <xf numFmtId="0" fontId="0" fillId="11" borderId="140" xfId="0" applyFill="1" applyBorder="1" applyAlignment="1">
      <alignment vertical="center" wrapText="1"/>
    </xf>
    <xf numFmtId="0" fontId="39" fillId="11" borderId="0" xfId="0" applyFont="1" applyFill="1"/>
    <xf numFmtId="0" fontId="8" fillId="11" borderId="0" xfId="0" quotePrefix="1" applyFont="1" applyFill="1" applyAlignment="1">
      <alignment vertical="center"/>
    </xf>
    <xf numFmtId="0" fontId="0" fillId="12" borderId="3" xfId="0" applyFill="1" applyBorder="1" applyAlignment="1">
      <alignment horizontal="center" vertical="center"/>
    </xf>
    <xf numFmtId="0" fontId="8" fillId="11" borderId="0" xfId="0" applyFont="1" applyFill="1" applyAlignment="1">
      <alignment horizontal="center"/>
    </xf>
    <xf numFmtId="0" fontId="0" fillId="12" borderId="20" xfId="0" applyFill="1" applyBorder="1" applyAlignment="1">
      <alignment horizontal="center" vertical="center"/>
    </xf>
    <xf numFmtId="10" fontId="8" fillId="11" borderId="0" xfId="9" applyNumberFormat="1" applyFont="1" applyFill="1" applyProtection="1"/>
    <xf numFmtId="0" fontId="1" fillId="11" borderId="0" xfId="0" applyFont="1" applyFill="1" applyAlignment="1">
      <alignment vertical="center"/>
    </xf>
    <xf numFmtId="10" fontId="8" fillId="11" borderId="0" xfId="0" applyNumberFormat="1" applyFont="1" applyFill="1" applyAlignment="1">
      <alignment vertical="center"/>
    </xf>
    <xf numFmtId="0" fontId="39" fillId="11" borderId="0" xfId="0" applyFont="1" applyFill="1" applyAlignment="1">
      <alignment horizontal="center" vertical="center"/>
    </xf>
    <xf numFmtId="9" fontId="8" fillId="11" borderId="0" xfId="9" applyFont="1" applyFill="1" applyAlignment="1" applyProtection="1">
      <alignment horizontal="center" vertical="center"/>
    </xf>
    <xf numFmtId="166" fontId="24" fillId="4" borderId="19" xfId="1" applyNumberFormat="1" applyFont="1" applyFill="1" applyBorder="1" applyAlignment="1">
      <alignment horizontal="center"/>
    </xf>
    <xf numFmtId="166" fontId="19" fillId="0" borderId="26" xfId="1" applyNumberFormat="1" applyFont="1" applyBorder="1" applyAlignment="1">
      <alignment horizontal="center"/>
    </xf>
    <xf numFmtId="166" fontId="19" fillId="5" borderId="26" xfId="1" applyNumberFormat="1" applyFont="1" applyFill="1" applyBorder="1" applyAlignment="1">
      <alignment horizontal="center"/>
    </xf>
    <xf numFmtId="0" fontId="3" fillId="6" borderId="0" xfId="1" applyFill="1" applyAlignment="1">
      <alignment horizontal="left"/>
    </xf>
    <xf numFmtId="0" fontId="24" fillId="4" borderId="20" xfId="1" applyFont="1" applyFill="1" applyBorder="1" applyAlignment="1">
      <alignment horizontal="left"/>
    </xf>
    <xf numFmtId="166" fontId="19" fillId="0" borderId="0" xfId="1" applyNumberFormat="1" applyFont="1" applyAlignment="1">
      <alignment horizontal="left"/>
    </xf>
    <xf numFmtId="166" fontId="19" fillId="5" borderId="0" xfId="1" applyNumberFormat="1" applyFont="1" applyFill="1" applyAlignment="1">
      <alignment horizontal="left"/>
    </xf>
    <xf numFmtId="0" fontId="51" fillId="11" borderId="0" xfId="0" applyFont="1" applyFill="1" applyAlignment="1">
      <alignment vertical="center"/>
    </xf>
    <xf numFmtId="166" fontId="19" fillId="0" borderId="55" xfId="1" applyNumberFormat="1" applyFont="1" applyBorder="1" applyAlignment="1">
      <alignment horizontal="center"/>
    </xf>
    <xf numFmtId="166" fontId="19" fillId="0" borderId="56" xfId="1" applyNumberFormat="1" applyFont="1" applyBorder="1" applyAlignment="1">
      <alignment horizontal="left"/>
    </xf>
    <xf numFmtId="0" fontId="16" fillId="0" borderId="148" xfId="0" applyFont="1" applyBorder="1" applyAlignment="1">
      <alignment vertical="center" wrapText="1"/>
    </xf>
    <xf numFmtId="0" fontId="8" fillId="11" borderId="0" xfId="0" applyFont="1" applyFill="1" applyAlignment="1" applyProtection="1">
      <alignment horizontal="center" vertical="center"/>
      <protection locked="0"/>
    </xf>
    <xf numFmtId="0" fontId="0" fillId="11" borderId="68" xfId="0" applyFill="1" applyBorder="1" applyAlignment="1">
      <alignment vertical="center"/>
    </xf>
    <xf numFmtId="175" fontId="46" fillId="11" borderId="68" xfId="0" applyNumberFormat="1" applyFont="1" applyFill="1" applyBorder="1" applyAlignment="1">
      <alignment horizontal="right" vertical="center"/>
    </xf>
    <xf numFmtId="0" fontId="0" fillId="11" borderId="132" xfId="0" applyFill="1" applyBorder="1" applyAlignment="1">
      <alignment vertical="center"/>
    </xf>
    <xf numFmtId="0" fontId="16" fillId="11" borderId="111" xfId="0" applyFont="1" applyFill="1" applyBorder="1" applyAlignment="1">
      <alignment vertical="center" wrapText="1"/>
    </xf>
    <xf numFmtId="0" fontId="46" fillId="11" borderId="68" xfId="5" applyFont="1" applyFill="1" applyBorder="1" applyAlignment="1" applyProtection="1">
      <alignment horizontal="left" vertical="center" wrapText="1"/>
    </xf>
    <xf numFmtId="0" fontId="0" fillId="11" borderId="68" xfId="0" applyFill="1" applyBorder="1" applyAlignment="1">
      <alignment horizontal="center" vertical="center"/>
    </xf>
    <xf numFmtId="175" fontId="16" fillId="11" borderId="68" xfId="0" applyNumberFormat="1" applyFont="1" applyFill="1" applyBorder="1" applyAlignment="1">
      <alignment horizontal="right" vertical="center"/>
    </xf>
    <xf numFmtId="175" fontId="16" fillId="11" borderId="143" xfId="0" applyNumberFormat="1" applyFont="1" applyFill="1" applyBorder="1" applyAlignment="1">
      <alignment horizontal="right" vertical="center"/>
    </xf>
    <xf numFmtId="0" fontId="0" fillId="11" borderId="143" xfId="0" applyFill="1" applyBorder="1" applyAlignment="1">
      <alignment vertical="center"/>
    </xf>
    <xf numFmtId="0" fontId="21" fillId="11" borderId="68" xfId="5" applyFont="1" applyFill="1" applyBorder="1" applyAlignment="1" applyProtection="1">
      <alignment horizontal="center" vertical="center"/>
    </xf>
    <xf numFmtId="14" fontId="16" fillId="0" borderId="154" xfId="0" applyNumberFormat="1" applyFont="1" applyBorder="1" applyAlignment="1" applyProtection="1">
      <alignment vertical="center" wrapText="1"/>
      <protection locked="0"/>
    </xf>
    <xf numFmtId="14" fontId="16" fillId="0" borderId="36" xfId="0" applyNumberFormat="1" applyFont="1" applyBorder="1" applyAlignment="1" applyProtection="1">
      <alignment vertical="center" wrapText="1"/>
      <protection locked="0"/>
    </xf>
    <xf numFmtId="14" fontId="16" fillId="0" borderId="37" xfId="0" applyNumberFormat="1" applyFont="1" applyBorder="1" applyAlignment="1" applyProtection="1">
      <alignment vertical="center" wrapText="1"/>
      <protection locked="0"/>
    </xf>
    <xf numFmtId="0" fontId="41" fillId="0" borderId="156" xfId="0" applyFont="1" applyBorder="1" applyAlignment="1">
      <alignment horizontal="center" vertical="center" wrapText="1"/>
    </xf>
    <xf numFmtId="0" fontId="28" fillId="11" borderId="72" xfId="0" applyFont="1" applyFill="1" applyBorder="1" applyAlignment="1">
      <alignment horizontal="center" vertical="center" textRotation="180"/>
    </xf>
    <xf numFmtId="176" fontId="8" fillId="11" borderId="0" xfId="0" applyNumberFormat="1" applyFont="1" applyFill="1" applyAlignment="1">
      <alignment vertical="center"/>
    </xf>
    <xf numFmtId="49" fontId="16" fillId="0" borderId="83" xfId="0" applyNumberFormat="1" applyFont="1" applyBorder="1" applyAlignment="1">
      <alignment horizontal="left" vertical="center"/>
    </xf>
    <xf numFmtId="49" fontId="16" fillId="0" borderId="67" xfId="0" applyNumberFormat="1" applyFont="1" applyBorder="1" applyAlignment="1">
      <alignment horizontal="left" vertical="center"/>
    </xf>
    <xf numFmtId="0" fontId="8" fillId="11" borderId="1" xfId="0" applyFont="1" applyFill="1" applyBorder="1" applyAlignment="1">
      <alignment horizontal="left" vertical="center"/>
    </xf>
    <xf numFmtId="167" fontId="8" fillId="11" borderId="0" xfId="0" applyNumberFormat="1" applyFont="1" applyFill="1" applyAlignment="1">
      <alignment horizontal="center" vertical="center"/>
    </xf>
    <xf numFmtId="4" fontId="8" fillId="11" borderId="0" xfId="0" applyNumberFormat="1" applyFont="1" applyFill="1" applyAlignment="1">
      <alignment horizontal="center" vertical="center"/>
    </xf>
    <xf numFmtId="0" fontId="10" fillId="11" borderId="0" xfId="0" applyFont="1" applyFill="1" applyAlignment="1">
      <alignment vertical="center"/>
    </xf>
    <xf numFmtId="0" fontId="7" fillId="11" borderId="0" xfId="0" applyFont="1" applyFill="1" applyAlignment="1">
      <alignment horizontal="center" vertical="center"/>
    </xf>
    <xf numFmtId="0" fontId="15" fillId="11" borderId="0" xfId="0" applyFont="1" applyFill="1" applyAlignment="1">
      <alignment vertical="center"/>
    </xf>
    <xf numFmtId="0" fontId="9" fillId="6" borderId="3" xfId="19" applyFont="1" applyFill="1" applyBorder="1" applyAlignment="1">
      <alignment wrapText="1"/>
    </xf>
    <xf numFmtId="0" fontId="9" fillId="6" borderId="3" xfId="19" applyFont="1" applyFill="1" applyBorder="1"/>
    <xf numFmtId="0" fontId="30" fillId="6" borderId="3" xfId="0" applyFont="1" applyFill="1" applyBorder="1"/>
    <xf numFmtId="0" fontId="1" fillId="6" borderId="0" xfId="19" applyFill="1" applyAlignment="1">
      <alignment horizontal="left" vertical="top" wrapText="1"/>
    </xf>
    <xf numFmtId="0" fontId="0" fillId="6" borderId="0" xfId="0" applyFill="1" applyAlignment="1">
      <alignment vertical="center"/>
    </xf>
    <xf numFmtId="0" fontId="16" fillId="6" borderId="134" xfId="0" applyFont="1" applyFill="1" applyBorder="1" applyAlignment="1">
      <alignment horizontal="center" vertical="center" wrapText="1"/>
    </xf>
    <xf numFmtId="0" fontId="16" fillId="6" borderId="135" xfId="0" applyFont="1" applyFill="1" applyBorder="1" applyAlignment="1">
      <alignment horizontal="center" vertical="center" wrapText="1"/>
    </xf>
    <xf numFmtId="0" fontId="0" fillId="6" borderId="140" xfId="0" applyFill="1" applyBorder="1" applyAlignment="1">
      <alignment vertical="center" wrapText="1"/>
    </xf>
    <xf numFmtId="178" fontId="0" fillId="6" borderId="58" xfId="0" applyNumberFormat="1" applyFill="1" applyBorder="1" applyAlignment="1">
      <alignment horizontal="center" vertical="center" wrapText="1"/>
    </xf>
    <xf numFmtId="9" fontId="0" fillId="6" borderId="58" xfId="9" applyFont="1" applyFill="1" applyBorder="1" applyAlignment="1">
      <alignment horizontal="center" vertical="center" wrapText="1"/>
    </xf>
    <xf numFmtId="9" fontId="0" fillId="6" borderId="2" xfId="9"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137" xfId="0" applyFill="1" applyBorder="1" applyAlignment="1">
      <alignment horizontal="center" vertical="center" wrapText="1"/>
    </xf>
    <xf numFmtId="0" fontId="0" fillId="6" borderId="138" xfId="0" applyFill="1" applyBorder="1" applyAlignment="1">
      <alignment vertical="center" wrapText="1"/>
    </xf>
    <xf numFmtId="178" fontId="0" fillId="6" borderId="8" xfId="0" applyNumberFormat="1" applyFill="1" applyBorder="1" applyAlignment="1">
      <alignment horizontal="center" vertical="center" wrapText="1"/>
    </xf>
    <xf numFmtId="9" fontId="0" fillId="6" borderId="8" xfId="9" applyFont="1" applyFill="1" applyBorder="1" applyAlignment="1">
      <alignment horizontal="center" vertical="center" wrapText="1"/>
    </xf>
    <xf numFmtId="9" fontId="0" fillId="6" borderId="1" xfId="9"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136" xfId="0" applyFill="1" applyBorder="1" applyAlignment="1">
      <alignment horizontal="center" vertical="center" wrapText="1"/>
    </xf>
    <xf numFmtId="0" fontId="0" fillId="6" borderId="8" xfId="0" applyFill="1" applyBorder="1" applyAlignment="1">
      <alignment horizontal="center" vertical="center" wrapText="1"/>
    </xf>
    <xf numFmtId="9" fontId="0" fillId="6" borderId="136" xfId="9" applyFont="1" applyFill="1" applyBorder="1" applyAlignment="1">
      <alignment horizontal="center" vertical="center" wrapText="1"/>
    </xf>
    <xf numFmtId="0" fontId="50" fillId="6" borderId="1" xfId="5" applyFont="1" applyFill="1" applyBorder="1" applyAlignment="1" applyProtection="1">
      <alignment horizontal="center" vertical="center" wrapText="1"/>
    </xf>
    <xf numFmtId="0" fontId="0" fillId="6" borderId="141" xfId="0" applyFill="1" applyBorder="1" applyAlignment="1">
      <alignment vertical="center" wrapText="1"/>
    </xf>
    <xf numFmtId="178" fontId="0" fillId="6" borderId="133" xfId="0" applyNumberFormat="1" applyFill="1" applyBorder="1" applyAlignment="1">
      <alignment horizontal="center" vertical="center" wrapText="1"/>
    </xf>
    <xf numFmtId="9" fontId="0" fillId="6" borderId="133" xfId="9" applyFont="1" applyFill="1" applyBorder="1" applyAlignment="1">
      <alignment horizontal="center" vertical="center" wrapText="1"/>
    </xf>
    <xf numFmtId="9" fontId="0" fillId="6" borderId="134" xfId="9" applyFont="1" applyFill="1" applyBorder="1" applyAlignment="1">
      <alignment horizontal="center" vertical="center" wrapText="1"/>
    </xf>
    <xf numFmtId="0" fontId="0" fillId="6" borderId="134" xfId="0" applyFill="1" applyBorder="1" applyAlignment="1">
      <alignment horizontal="center" vertical="center" wrapText="1"/>
    </xf>
    <xf numFmtId="0" fontId="0" fillId="6" borderId="135" xfId="0" applyFill="1" applyBorder="1" applyAlignment="1">
      <alignment horizontal="center" vertical="center" wrapText="1"/>
    </xf>
    <xf numFmtId="178" fontId="0" fillId="6" borderId="0" xfId="0" applyNumberFormat="1" applyFill="1" applyAlignment="1">
      <alignment vertical="center"/>
    </xf>
    <xf numFmtId="175" fontId="46" fillId="11" borderId="143" xfId="0" applyNumberFormat="1" applyFont="1" applyFill="1" applyBorder="1" applyAlignment="1">
      <alignment horizontal="left" vertical="center" wrapText="1"/>
    </xf>
    <xf numFmtId="0" fontId="16" fillId="9" borderId="43" xfId="0" applyFont="1" applyFill="1" applyBorder="1" applyAlignment="1">
      <alignment vertical="center" wrapText="1"/>
    </xf>
    <xf numFmtId="0" fontId="16" fillId="9" borderId="47" xfId="0" applyFont="1" applyFill="1" applyBorder="1" applyAlignment="1">
      <alignment vertical="center" wrapText="1"/>
    </xf>
    <xf numFmtId="0" fontId="45" fillId="11" borderId="117" xfId="5" applyFont="1" applyFill="1" applyBorder="1" applyAlignment="1" applyProtection="1">
      <alignment horizontal="center" vertical="center" wrapText="1"/>
    </xf>
    <xf numFmtId="0" fontId="45" fillId="11" borderId="118" xfId="5" applyFont="1" applyFill="1" applyBorder="1" applyAlignment="1" applyProtection="1">
      <alignment horizontal="center" vertical="center" wrapText="1"/>
    </xf>
    <xf numFmtId="0" fontId="45" fillId="11" borderId="119" xfId="5" applyFont="1" applyFill="1" applyBorder="1" applyAlignment="1" applyProtection="1">
      <alignment horizontal="center" vertical="center" wrapText="1"/>
    </xf>
    <xf numFmtId="175" fontId="46" fillId="11" borderId="143" xfId="0" applyNumberFormat="1" applyFont="1" applyFill="1" applyBorder="1" applyAlignment="1">
      <alignment horizontal="left" vertical="center"/>
    </xf>
    <xf numFmtId="0" fontId="16" fillId="0" borderId="43" xfId="0" applyFont="1" applyBorder="1" applyAlignment="1">
      <alignment vertical="center" wrapText="1"/>
    </xf>
    <xf numFmtId="0" fontId="16" fillId="9" borderId="12" xfId="0" applyFont="1" applyFill="1" applyBorder="1" applyAlignment="1">
      <alignment vertical="center" wrapText="1"/>
    </xf>
    <xf numFmtId="0" fontId="16" fillId="0" borderId="12" xfId="0" applyFont="1" applyBorder="1" applyAlignment="1">
      <alignment vertical="center" wrapText="1"/>
    </xf>
    <xf numFmtId="0" fontId="16" fillId="0" borderId="62" xfId="0" applyFont="1" applyBorder="1" applyAlignment="1">
      <alignment vertical="center" wrapText="1"/>
    </xf>
    <xf numFmtId="0" fontId="16" fillId="0" borderId="93" xfId="0" applyFont="1" applyBorder="1" applyAlignment="1">
      <alignment horizontal="left" vertical="center"/>
    </xf>
    <xf numFmtId="0" fontId="16" fillId="0" borderId="88" xfId="0" applyFont="1" applyBorder="1" applyAlignment="1">
      <alignment horizontal="left" vertical="center"/>
    </xf>
    <xf numFmtId="0" fontId="16" fillId="0" borderId="93" xfId="0" applyFont="1" applyBorder="1" applyAlignment="1">
      <alignment horizontal="left" vertical="top" wrapText="1"/>
    </xf>
    <xf numFmtId="0" fontId="16" fillId="0" borderId="88" xfId="0" applyFont="1" applyBorder="1" applyAlignment="1">
      <alignment horizontal="left" vertical="top" wrapText="1"/>
    </xf>
    <xf numFmtId="0" fontId="16" fillId="9" borderId="93" xfId="0" applyFont="1" applyFill="1" applyBorder="1" applyAlignment="1">
      <alignment horizontal="left" vertical="center"/>
    </xf>
    <xf numFmtId="0" fontId="16" fillId="9" borderId="88" xfId="0" applyFont="1" applyFill="1" applyBorder="1" applyAlignment="1">
      <alignment horizontal="left" vertical="center"/>
    </xf>
    <xf numFmtId="0" fontId="16" fillId="9" borderId="93" xfId="0" applyFont="1" applyFill="1" applyBorder="1" applyAlignment="1">
      <alignment vertical="center"/>
    </xf>
    <xf numFmtId="0" fontId="16" fillId="9" borderId="88" xfId="0" applyFont="1" applyFill="1" applyBorder="1" applyAlignment="1">
      <alignment vertical="center"/>
    </xf>
    <xf numFmtId="0" fontId="7" fillId="9" borderId="91" xfId="0" applyFont="1" applyFill="1" applyBorder="1" applyAlignment="1">
      <alignment horizontal="center" vertical="center" wrapText="1"/>
    </xf>
    <xf numFmtId="0" fontId="7" fillId="0" borderId="91" xfId="0" applyFont="1" applyBorder="1" applyAlignment="1">
      <alignment horizontal="center" vertical="center" wrapText="1"/>
    </xf>
    <xf numFmtId="0" fontId="16" fillId="0" borderId="67" xfId="0" applyFont="1" applyBorder="1" applyAlignment="1">
      <alignment horizontal="left" vertical="center"/>
    </xf>
    <xf numFmtId="0" fontId="16" fillId="0" borderId="87" xfId="0" applyFont="1" applyBorder="1" applyAlignment="1">
      <alignment horizontal="left" vertical="center"/>
    </xf>
    <xf numFmtId="0" fontId="16" fillId="0" borderId="78" xfId="0" applyFont="1" applyBorder="1" applyAlignment="1">
      <alignment horizontal="left" vertical="center"/>
    </xf>
    <xf numFmtId="0" fontId="16" fillId="0" borderId="98" xfId="0" applyFont="1" applyBorder="1" applyAlignment="1">
      <alignment horizontal="left" vertical="center"/>
    </xf>
    <xf numFmtId="0" fontId="16" fillId="9" borderId="158" xfId="0" applyFont="1" applyFill="1" applyBorder="1" applyAlignment="1">
      <alignment vertical="center"/>
    </xf>
    <xf numFmtId="0" fontId="16" fillId="9" borderId="165" xfId="0" applyFont="1" applyFill="1" applyBorder="1" applyAlignment="1">
      <alignment vertical="center"/>
    </xf>
    <xf numFmtId="0" fontId="16" fillId="9" borderId="162" xfId="0" applyFont="1" applyFill="1" applyBorder="1" applyAlignment="1">
      <alignment vertical="center"/>
    </xf>
    <xf numFmtId="164" fontId="16" fillId="0" borderId="118" xfId="0" applyNumberFormat="1" applyFont="1" applyBorder="1" applyAlignment="1" applyProtection="1">
      <alignment horizontal="center" vertical="center" wrapText="1"/>
      <protection locked="0"/>
    </xf>
    <xf numFmtId="0" fontId="16" fillId="0" borderId="118" xfId="0" applyFont="1" applyBorder="1" applyAlignment="1" applyProtection="1">
      <alignment horizontal="center" vertical="center" wrapText="1"/>
      <protection locked="0"/>
    </xf>
    <xf numFmtId="164" fontId="16" fillId="0" borderId="119" xfId="0" applyNumberFormat="1" applyFont="1" applyBorder="1" applyAlignment="1" applyProtection="1">
      <alignment horizontal="center" vertical="center" wrapText="1"/>
      <protection locked="0"/>
    </xf>
    <xf numFmtId="0" fontId="16" fillId="0" borderId="119" xfId="0" applyFont="1" applyBorder="1" applyAlignment="1" applyProtection="1">
      <alignment horizontal="center" vertical="center" wrapText="1"/>
      <protection locked="0"/>
    </xf>
    <xf numFmtId="164" fontId="16" fillId="11" borderId="117" xfId="0" applyNumberFormat="1" applyFont="1" applyFill="1" applyBorder="1" applyAlignment="1">
      <alignment horizontal="center" vertical="center" wrapText="1"/>
    </xf>
    <xf numFmtId="0" fontId="16" fillId="11" borderId="117" xfId="0" applyFont="1" applyFill="1" applyBorder="1" applyAlignment="1">
      <alignment horizontal="center" vertical="center" wrapText="1"/>
    </xf>
    <xf numFmtId="0" fontId="16" fillId="11" borderId="118" xfId="0" applyFont="1" applyFill="1" applyBorder="1" applyAlignment="1">
      <alignment horizontal="center" vertical="center" wrapText="1"/>
    </xf>
    <xf numFmtId="164" fontId="16" fillId="11" borderId="118" xfId="0" applyNumberFormat="1" applyFont="1" applyFill="1" applyBorder="1" applyAlignment="1">
      <alignment horizontal="center" vertical="center" wrapText="1"/>
    </xf>
    <xf numFmtId="0" fontId="16" fillId="11" borderId="0" xfId="0" applyFont="1" applyFill="1"/>
    <xf numFmtId="0" fontId="16" fillId="9" borderId="10" xfId="0" applyFont="1" applyFill="1" applyBorder="1" applyAlignment="1">
      <alignment vertical="center"/>
    </xf>
    <xf numFmtId="0" fontId="16" fillId="9" borderId="85" xfId="0" applyFont="1" applyFill="1" applyBorder="1" applyAlignment="1">
      <alignment vertical="center"/>
    </xf>
    <xf numFmtId="0" fontId="16" fillId="9" borderId="98" xfId="0" applyFont="1" applyFill="1" applyBorder="1" applyAlignment="1">
      <alignment vertical="center"/>
    </xf>
    <xf numFmtId="0" fontId="16" fillId="9" borderId="99" xfId="0" applyFont="1" applyFill="1" applyBorder="1" applyAlignment="1">
      <alignment vertical="center"/>
    </xf>
    <xf numFmtId="0" fontId="16" fillId="9" borderId="66" xfId="0" applyFont="1" applyFill="1" applyBorder="1" applyAlignment="1">
      <alignment vertical="center"/>
    </xf>
    <xf numFmtId="0" fontId="16" fillId="9" borderId="95" xfId="0" applyFont="1" applyFill="1" applyBorder="1" applyAlignment="1">
      <alignment vertical="center"/>
    </xf>
    <xf numFmtId="49" fontId="16" fillId="9" borderId="158" xfId="0" applyNumberFormat="1" applyFont="1" applyFill="1" applyBorder="1" applyAlignment="1">
      <alignment horizontal="left" vertical="center"/>
    </xf>
    <xf numFmtId="0" fontId="16" fillId="9" borderId="175" xfId="0" applyFont="1" applyFill="1" applyBorder="1" applyAlignment="1">
      <alignment vertical="center"/>
    </xf>
    <xf numFmtId="0" fontId="16" fillId="11" borderId="42" xfId="0" applyFont="1" applyFill="1" applyBorder="1" applyAlignment="1">
      <alignment horizontal="center" vertical="center"/>
    </xf>
    <xf numFmtId="167" fontId="16" fillId="11" borderId="43" xfId="0" applyNumberFormat="1" applyFont="1" applyFill="1" applyBorder="1" applyAlignment="1">
      <alignment horizontal="center" vertical="center"/>
    </xf>
    <xf numFmtId="174" fontId="16" fillId="11" borderId="43" xfId="0" applyNumberFormat="1" applyFont="1" applyFill="1" applyBorder="1" applyAlignment="1">
      <alignment horizontal="center" vertical="center"/>
    </xf>
    <xf numFmtId="4" fontId="16" fillId="11" borderId="43" xfId="0" applyNumberFormat="1" applyFont="1" applyFill="1" applyBorder="1" applyAlignment="1">
      <alignment horizontal="center" vertical="center"/>
    </xf>
    <xf numFmtId="4" fontId="16" fillId="11" borderId="121" xfId="0" applyNumberFormat="1" applyFont="1" applyFill="1" applyBorder="1" applyAlignment="1">
      <alignment horizontal="center" vertical="center"/>
    </xf>
    <xf numFmtId="4" fontId="16" fillId="11" borderId="36" xfId="0" applyNumberFormat="1" applyFont="1" applyFill="1" applyBorder="1" applyAlignment="1">
      <alignment horizontal="center" vertical="center"/>
    </xf>
    <xf numFmtId="0" fontId="16" fillId="11" borderId="126" xfId="0" applyFont="1" applyFill="1" applyBorder="1" applyAlignment="1">
      <alignment horizontal="center" vertical="center"/>
    </xf>
    <xf numFmtId="0" fontId="16" fillId="11" borderId="127" xfId="0" applyFont="1" applyFill="1" applyBorder="1" applyAlignment="1">
      <alignment horizontal="center" vertical="center"/>
    </xf>
    <xf numFmtId="167" fontId="16" fillId="11" borderId="127" xfId="0" applyNumberFormat="1" applyFont="1" applyFill="1" applyBorder="1" applyAlignment="1">
      <alignment horizontal="center" vertical="center"/>
    </xf>
    <xf numFmtId="174" fontId="16" fillId="11" borderId="127" xfId="0" applyNumberFormat="1" applyFont="1" applyFill="1" applyBorder="1" applyAlignment="1">
      <alignment horizontal="center" vertical="center"/>
    </xf>
    <xf numFmtId="4" fontId="16" fillId="11" borderId="127" xfId="0" applyNumberFormat="1" applyFont="1" applyFill="1" applyBorder="1" applyAlignment="1">
      <alignment horizontal="center" vertical="center"/>
    </xf>
    <xf numFmtId="4" fontId="16" fillId="11" borderId="128" xfId="0" applyNumberFormat="1" applyFont="1" applyFill="1" applyBorder="1" applyAlignment="1">
      <alignment horizontal="center" vertical="center"/>
    </xf>
    <xf numFmtId="4" fontId="16" fillId="11" borderId="129" xfId="0" applyNumberFormat="1" applyFont="1" applyFill="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left" vertical="center"/>
    </xf>
    <xf numFmtId="167" fontId="16" fillId="0" borderId="43" xfId="0" applyNumberFormat="1" applyFont="1" applyBorder="1" applyAlignment="1" applyProtection="1">
      <alignment horizontal="center" vertical="center"/>
      <protection locked="0"/>
    </xf>
    <xf numFmtId="174" fontId="16" fillId="0" borderId="43" xfId="0" applyNumberFormat="1" applyFont="1" applyBorder="1" applyAlignment="1" applyProtection="1">
      <alignment horizontal="center" vertical="center"/>
      <protection locked="0"/>
    </xf>
    <xf numFmtId="4" fontId="16" fillId="0" borderId="43" xfId="0" applyNumberFormat="1" applyFont="1" applyBorder="1" applyAlignment="1" applyProtection="1">
      <alignment horizontal="center" vertical="center"/>
      <protection locked="0"/>
    </xf>
    <xf numFmtId="4" fontId="16" fillId="0" borderId="121" xfId="0" applyNumberFormat="1" applyFont="1" applyBorder="1" applyAlignment="1">
      <alignment horizontal="center" vertical="center"/>
    </xf>
    <xf numFmtId="4" fontId="16" fillId="0" borderId="121" xfId="0" applyNumberFormat="1" applyFont="1" applyBorder="1" applyAlignment="1" applyProtection="1">
      <alignment horizontal="center" vertical="center"/>
      <protection locked="0"/>
    </xf>
    <xf numFmtId="4" fontId="16" fillId="0" borderId="36" xfId="0" applyNumberFormat="1" applyFont="1" applyBorder="1" applyAlignment="1" applyProtection="1">
      <alignment horizontal="center" vertical="center"/>
      <protection locked="0"/>
    </xf>
    <xf numFmtId="0" fontId="16" fillId="0" borderId="46" xfId="0" applyFont="1" applyBorder="1" applyAlignment="1">
      <alignment horizontal="center" vertical="center"/>
    </xf>
    <xf numFmtId="0" fontId="16" fillId="0" borderId="47" xfId="0" applyFont="1" applyBorder="1" applyAlignment="1">
      <alignment horizontal="left" vertical="center"/>
    </xf>
    <xf numFmtId="167" fontId="16" fillId="0" borderId="47" xfId="0" applyNumberFormat="1" applyFont="1" applyBorder="1" applyAlignment="1" applyProtection="1">
      <alignment horizontal="center" vertical="center"/>
      <protection locked="0"/>
    </xf>
    <xf numFmtId="174" fontId="16" fillId="0" borderId="47" xfId="0" applyNumberFormat="1" applyFont="1" applyBorder="1" applyAlignment="1" applyProtection="1">
      <alignment horizontal="center" vertical="center"/>
      <protection locked="0"/>
    </xf>
    <xf numFmtId="4" fontId="16" fillId="0" borderId="47" xfId="0" applyNumberFormat="1" applyFont="1" applyBorder="1" applyAlignment="1" applyProtection="1">
      <alignment horizontal="center" vertical="center"/>
      <protection locked="0"/>
    </xf>
    <xf numFmtId="4" fontId="16" fillId="0" borderId="122" xfId="0" applyNumberFormat="1" applyFont="1" applyBorder="1" applyAlignment="1">
      <alignment horizontal="center" vertical="center"/>
    </xf>
    <xf numFmtId="4" fontId="16" fillId="0" borderId="122" xfId="0" applyNumberFormat="1" applyFont="1" applyBorder="1" applyAlignment="1" applyProtection="1">
      <alignment horizontal="center" vertical="center"/>
      <protection locked="0"/>
    </xf>
    <xf numFmtId="4" fontId="16" fillId="0" borderId="37" xfId="0" applyNumberFormat="1" applyFont="1" applyBorder="1" applyAlignment="1" applyProtection="1">
      <alignment horizontal="center" vertical="center"/>
      <protection locked="0"/>
    </xf>
    <xf numFmtId="4" fontId="16" fillId="0" borderId="117" xfId="0" applyNumberFormat="1" applyFont="1" applyBorder="1" applyAlignment="1" applyProtection="1">
      <alignment horizontal="center" vertical="center"/>
      <protection locked="0"/>
    </xf>
    <xf numFmtId="4" fontId="16" fillId="0" borderId="118" xfId="0" applyNumberFormat="1" applyFont="1" applyBorder="1" applyAlignment="1" applyProtection="1">
      <alignment horizontal="center" vertical="center"/>
      <protection locked="0"/>
    </xf>
    <xf numFmtId="0" fontId="16" fillId="0" borderId="118" xfId="0" applyFont="1" applyBorder="1" applyAlignment="1" applyProtection="1">
      <alignment horizontal="center" vertical="center"/>
      <protection locked="0"/>
    </xf>
    <xf numFmtId="14" fontId="16" fillId="0" borderId="118" xfId="0" applyNumberFormat="1" applyFont="1" applyBorder="1" applyAlignment="1" applyProtection="1">
      <alignment horizontal="center" vertical="center"/>
      <protection locked="0"/>
    </xf>
    <xf numFmtId="49" fontId="16" fillId="0" borderId="118"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protection locked="0"/>
    </xf>
    <xf numFmtId="0" fontId="16" fillId="0" borderId="119" xfId="0" applyFont="1" applyBorder="1" applyAlignment="1" applyProtection="1">
      <alignment horizontal="center" vertical="center"/>
      <protection locked="0"/>
    </xf>
    <xf numFmtId="14" fontId="16" fillId="0" borderId="119" xfId="0" applyNumberFormat="1" applyFont="1" applyBorder="1" applyAlignment="1" applyProtection="1">
      <alignment horizontal="center" vertical="center"/>
      <protection locked="0"/>
    </xf>
    <xf numFmtId="49" fontId="16" fillId="0" borderId="119" xfId="0" applyNumberFormat="1" applyFont="1" applyBorder="1" applyAlignment="1" applyProtection="1">
      <alignment horizontal="center" vertical="center"/>
      <protection locked="0"/>
    </xf>
    <xf numFmtId="3" fontId="16" fillId="0" borderId="119" xfId="0" applyNumberFormat="1" applyFont="1" applyBorder="1" applyAlignment="1" applyProtection="1">
      <alignment horizontal="center" vertical="center"/>
      <protection locked="0"/>
    </xf>
    <xf numFmtId="4" fontId="16" fillId="0" borderId="119" xfId="0" applyNumberFormat="1" applyFont="1" applyBorder="1" applyAlignment="1" applyProtection="1">
      <alignment horizontal="center" vertical="center"/>
      <protection locked="0"/>
    </xf>
    <xf numFmtId="0" fontId="16" fillId="0" borderId="117" xfId="0" applyFont="1" applyBorder="1" applyAlignment="1" applyProtection="1">
      <alignment horizontal="center" vertical="center"/>
      <protection locked="0"/>
    </xf>
    <xf numFmtId="14" fontId="16" fillId="0" borderId="117" xfId="0" applyNumberFormat="1" applyFont="1" applyBorder="1" applyAlignment="1" applyProtection="1">
      <alignment horizontal="center" vertical="center"/>
      <protection locked="0"/>
    </xf>
    <xf numFmtId="49" fontId="16" fillId="0" borderId="117" xfId="0" applyNumberFormat="1" applyFont="1" applyBorder="1" applyAlignment="1" applyProtection="1">
      <alignment horizontal="center" vertical="center"/>
      <protection locked="0"/>
    </xf>
    <xf numFmtId="3" fontId="16" fillId="0" borderId="117" xfId="0" applyNumberFormat="1" applyFont="1" applyBorder="1" applyAlignment="1" applyProtection="1">
      <alignment horizontal="center" vertical="center"/>
      <protection locked="0"/>
    </xf>
    <xf numFmtId="2" fontId="16" fillId="0" borderId="118" xfId="0" applyNumberFormat="1" applyFont="1" applyBorder="1" applyAlignment="1">
      <alignment horizontal="center" vertical="center" wrapText="1"/>
    </xf>
    <xf numFmtId="164" fontId="16" fillId="0" borderId="118" xfId="0" applyNumberFormat="1" applyFont="1" applyBorder="1" applyAlignment="1">
      <alignment horizontal="center" vertical="center" wrapText="1"/>
    </xf>
    <xf numFmtId="4" fontId="16" fillId="0" borderId="118" xfId="0" applyNumberFormat="1" applyFont="1" applyBorder="1" applyAlignment="1" applyProtection="1">
      <alignment horizontal="center" vertical="center" wrapText="1"/>
      <protection locked="0"/>
    </xf>
    <xf numFmtId="4" fontId="16" fillId="0" borderId="118" xfId="0" applyNumberFormat="1" applyFont="1" applyBorder="1" applyAlignment="1">
      <alignment horizontal="center" vertical="center" wrapText="1"/>
    </xf>
    <xf numFmtId="4" fontId="16" fillId="0" borderId="45" xfId="0" applyNumberFormat="1" applyFont="1" applyBorder="1" applyAlignment="1" applyProtection="1">
      <alignment horizontal="center" vertical="center" wrapText="1"/>
      <protection locked="0"/>
    </xf>
    <xf numFmtId="4" fontId="16" fillId="0" borderId="43" xfId="0" applyNumberFormat="1" applyFont="1" applyBorder="1" applyAlignment="1" applyProtection="1">
      <alignment horizontal="center" vertical="center" wrapText="1"/>
      <protection locked="0"/>
    </xf>
    <xf numFmtId="4" fontId="16" fillId="0" borderId="36" xfId="0" applyNumberFormat="1" applyFont="1" applyBorder="1" applyAlignment="1" applyProtection="1">
      <alignment horizontal="center" vertical="center" wrapText="1"/>
      <protection locked="0"/>
    </xf>
    <xf numFmtId="2" fontId="16" fillId="0" borderId="119" xfId="0" applyNumberFormat="1" applyFont="1" applyBorder="1" applyAlignment="1">
      <alignment horizontal="center" vertical="center" wrapText="1"/>
    </xf>
    <xf numFmtId="164" fontId="16" fillId="0" borderId="119" xfId="0" applyNumberFormat="1" applyFont="1" applyBorder="1" applyAlignment="1">
      <alignment horizontal="center" vertical="center" wrapText="1"/>
    </xf>
    <xf numFmtId="4" fontId="16" fillId="0" borderId="119" xfId="0" applyNumberFormat="1" applyFont="1" applyBorder="1" applyAlignment="1" applyProtection="1">
      <alignment horizontal="center" vertical="center" wrapText="1"/>
      <protection locked="0"/>
    </xf>
    <xf numFmtId="4" fontId="16" fillId="0" borderId="119" xfId="0" applyNumberFormat="1" applyFont="1" applyBorder="1" applyAlignment="1">
      <alignment horizontal="center" vertical="center" wrapText="1"/>
    </xf>
    <xf numFmtId="4" fontId="16" fillId="0" borderId="47" xfId="0" applyNumberFormat="1" applyFont="1" applyBorder="1" applyAlignment="1" applyProtection="1">
      <alignment horizontal="center" vertical="center" wrapText="1"/>
      <protection locked="0"/>
    </xf>
    <xf numFmtId="4" fontId="16" fillId="0" borderId="37" xfId="0" applyNumberFormat="1" applyFont="1" applyBorder="1" applyAlignment="1" applyProtection="1">
      <alignment horizontal="center" vertical="center" wrapText="1"/>
      <protection locked="0"/>
    </xf>
    <xf numFmtId="4" fontId="16" fillId="11" borderId="117" xfId="0" applyNumberFormat="1" applyFont="1" applyFill="1" applyBorder="1" applyAlignment="1">
      <alignment horizontal="center" vertical="center" wrapText="1"/>
    </xf>
    <xf numFmtId="4" fontId="16" fillId="11" borderId="39" xfId="0" applyNumberFormat="1" applyFont="1" applyFill="1" applyBorder="1" applyAlignment="1">
      <alignment horizontal="center" vertical="center" wrapText="1"/>
    </xf>
    <xf numFmtId="2" fontId="16" fillId="11" borderId="118" xfId="0" applyNumberFormat="1" applyFont="1" applyFill="1" applyBorder="1" applyAlignment="1">
      <alignment horizontal="center" vertical="center" wrapText="1"/>
    </xf>
    <xf numFmtId="177" fontId="16" fillId="11" borderId="118" xfId="0" applyNumberFormat="1" applyFont="1" applyFill="1" applyBorder="1" applyAlignment="1">
      <alignment horizontal="center" vertical="center" wrapText="1"/>
    </xf>
    <xf numFmtId="4" fontId="16" fillId="11" borderId="118" xfId="0" applyNumberFormat="1" applyFont="1" applyFill="1" applyBorder="1" applyAlignment="1">
      <alignment horizontal="center" vertical="center" wrapText="1"/>
    </xf>
    <xf numFmtId="4" fontId="16" fillId="11" borderId="45" xfId="0" applyNumberFormat="1" applyFont="1" applyFill="1" applyBorder="1" applyAlignment="1">
      <alignment horizontal="center" vertical="center" wrapText="1"/>
    </xf>
    <xf numFmtId="4" fontId="16" fillId="11" borderId="43" xfId="0" applyNumberFormat="1" applyFont="1" applyFill="1" applyBorder="1" applyAlignment="1">
      <alignment horizontal="center" vertical="center" wrapText="1"/>
    </xf>
    <xf numFmtId="4" fontId="16" fillId="11" borderId="36" xfId="0" applyNumberFormat="1" applyFont="1" applyFill="1" applyBorder="1" applyAlignment="1">
      <alignment horizontal="center" vertical="center" wrapText="1"/>
    </xf>
    <xf numFmtId="4" fontId="16" fillId="2" borderId="43" xfId="0" applyNumberFormat="1" applyFont="1" applyFill="1" applyBorder="1" applyAlignment="1">
      <alignment horizontal="center" vertical="center" wrapText="1"/>
    </xf>
    <xf numFmtId="49" fontId="16" fillId="11" borderId="38" xfId="0" applyNumberFormat="1" applyFont="1" applyFill="1" applyBorder="1" applyAlignment="1">
      <alignment horizontal="left" vertical="center" wrapText="1"/>
    </xf>
    <xf numFmtId="49" fontId="16" fillId="11" borderId="39" xfId="0" applyNumberFormat="1" applyFont="1" applyFill="1" applyBorder="1" applyAlignment="1">
      <alignment horizontal="left" vertical="center" wrapText="1"/>
    </xf>
    <xf numFmtId="3" fontId="16" fillId="11" borderId="41" xfId="0" applyNumberFormat="1" applyFont="1" applyFill="1" applyBorder="1" applyAlignment="1">
      <alignment horizontal="center" vertical="center"/>
    </xf>
    <xf numFmtId="2" fontId="16" fillId="11" borderId="39" xfId="0" applyNumberFormat="1" applyFont="1" applyFill="1" applyBorder="1" applyAlignment="1">
      <alignment horizontal="center" vertical="center"/>
    </xf>
    <xf numFmtId="10" fontId="16" fillId="11" borderId="40" xfId="9" applyNumberFormat="1" applyFont="1" applyFill="1" applyBorder="1" applyAlignment="1" applyProtection="1">
      <alignment horizontal="center" vertical="center"/>
    </xf>
    <xf numFmtId="165" fontId="16" fillId="11" borderId="39" xfId="0" applyNumberFormat="1" applyFont="1" applyFill="1" applyBorder="1" applyAlignment="1">
      <alignment horizontal="center" vertical="center"/>
    </xf>
    <xf numFmtId="10" fontId="16" fillId="11" borderId="39" xfId="9" applyNumberFormat="1" applyFont="1" applyFill="1" applyBorder="1" applyAlignment="1" applyProtection="1">
      <alignment horizontal="center" vertical="center"/>
    </xf>
    <xf numFmtId="165" fontId="16" fillId="11" borderId="35"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wrapText="1"/>
    </xf>
    <xf numFmtId="49" fontId="16" fillId="11" borderId="43" xfId="0" applyNumberFormat="1" applyFont="1" applyFill="1" applyBorder="1" applyAlignment="1">
      <alignment horizontal="left" vertical="center" wrapText="1"/>
    </xf>
    <xf numFmtId="3" fontId="16" fillId="11" borderId="45" xfId="0" applyNumberFormat="1" applyFont="1" applyFill="1" applyBorder="1" applyAlignment="1">
      <alignment horizontal="center" vertical="center"/>
    </xf>
    <xf numFmtId="2" fontId="16" fillId="11" borderId="43" xfId="0" applyNumberFormat="1" applyFont="1" applyFill="1" applyBorder="1" applyAlignment="1">
      <alignment horizontal="center" vertical="center"/>
    </xf>
    <xf numFmtId="2" fontId="16" fillId="11" borderId="45" xfId="0" applyNumberFormat="1" applyFont="1" applyFill="1" applyBorder="1" applyAlignment="1">
      <alignment horizontal="center" vertical="center"/>
    </xf>
    <xf numFmtId="165" fontId="16" fillId="11" borderId="43" xfId="0" applyNumberFormat="1" applyFont="1" applyFill="1" applyBorder="1" applyAlignment="1">
      <alignment horizontal="center" vertical="center"/>
    </xf>
    <xf numFmtId="10" fontId="16" fillId="11" borderId="43" xfId="9" applyNumberFormat="1" applyFont="1" applyFill="1" applyBorder="1" applyAlignment="1" applyProtection="1">
      <alignment horizontal="center" vertical="center"/>
    </xf>
    <xf numFmtId="165" fontId="16" fillId="11" borderId="36" xfId="0" applyNumberFormat="1" applyFont="1" applyFill="1" applyBorder="1" applyAlignment="1">
      <alignment horizontal="center" vertical="center"/>
    </xf>
    <xf numFmtId="49" fontId="16" fillId="0" borderId="38" xfId="0" applyNumberFormat="1" applyFont="1" applyBorder="1" applyAlignment="1" applyProtection="1">
      <alignment horizontal="left" vertical="center" wrapText="1"/>
      <protection locked="0"/>
    </xf>
    <xf numFmtId="49" fontId="16" fillId="0" borderId="39" xfId="0" applyNumberFormat="1" applyFont="1" applyBorder="1" applyAlignment="1" applyProtection="1">
      <alignment horizontal="left" vertical="center" wrapText="1"/>
      <protection locked="0"/>
    </xf>
    <xf numFmtId="3" fontId="16" fillId="0" borderId="41" xfId="0" applyNumberFormat="1" applyFont="1" applyBorder="1" applyAlignment="1" applyProtection="1">
      <alignment horizontal="center" vertical="center"/>
      <protection locked="0"/>
    </xf>
    <xf numFmtId="2" fontId="16" fillId="0" borderId="39" xfId="0" applyNumberFormat="1" applyFont="1" applyBorder="1" applyAlignment="1" applyProtection="1">
      <alignment horizontal="center" vertical="center"/>
      <protection locked="0"/>
    </xf>
    <xf numFmtId="10" fontId="16" fillId="0" borderId="40" xfId="9" applyNumberFormat="1" applyFont="1" applyBorder="1" applyAlignment="1" applyProtection="1">
      <alignment horizontal="center" vertical="center"/>
      <protection locked="0"/>
    </xf>
    <xf numFmtId="2" fontId="16" fillId="0" borderId="41" xfId="0" applyNumberFormat="1" applyFont="1" applyBorder="1" applyAlignment="1" applyProtection="1">
      <alignment horizontal="center" vertical="center"/>
      <protection locked="0"/>
    </xf>
    <xf numFmtId="165" fontId="16" fillId="0" borderId="39" xfId="0" applyNumberFormat="1" applyFont="1" applyBorder="1" applyAlignment="1">
      <alignment horizontal="center" vertical="center"/>
    </xf>
    <xf numFmtId="10" fontId="16" fillId="0" borderId="39" xfId="9" applyNumberFormat="1" applyFont="1" applyBorder="1" applyAlignment="1" applyProtection="1">
      <alignment horizontal="center" vertical="center"/>
      <protection locked="0"/>
    </xf>
    <xf numFmtId="165" fontId="16" fillId="0" borderId="35" xfId="0" applyNumberFormat="1" applyFont="1" applyBorder="1" applyAlignment="1">
      <alignment horizontal="center" vertical="center"/>
    </xf>
    <xf numFmtId="49" fontId="16" fillId="0" borderId="42" xfId="0" applyNumberFormat="1" applyFont="1" applyBorder="1" applyAlignment="1" applyProtection="1">
      <alignment horizontal="left" vertical="center" wrapText="1"/>
      <protection locked="0"/>
    </xf>
    <xf numFmtId="49" fontId="16" fillId="0" borderId="43" xfId="0" applyNumberFormat="1" applyFont="1" applyBorder="1" applyAlignment="1" applyProtection="1">
      <alignment horizontal="left" vertical="center" wrapText="1"/>
      <protection locked="0"/>
    </xf>
    <xf numFmtId="3" fontId="16" fillId="0" borderId="45" xfId="0" applyNumberFormat="1" applyFont="1" applyBorder="1" applyAlignment="1" applyProtection="1">
      <alignment horizontal="center" vertical="center"/>
      <protection locked="0"/>
    </xf>
    <xf numFmtId="2" fontId="16" fillId="0" borderId="43" xfId="0" applyNumberFormat="1" applyFont="1" applyBorder="1" applyAlignment="1" applyProtection="1">
      <alignment horizontal="center" vertical="center"/>
      <protection locked="0"/>
    </xf>
    <xf numFmtId="10" fontId="16" fillId="0" borderId="44" xfId="9" applyNumberFormat="1" applyFont="1" applyBorder="1" applyAlignment="1" applyProtection="1">
      <alignment horizontal="center" vertical="center"/>
      <protection locked="0"/>
    </xf>
    <xf numFmtId="2" fontId="16" fillId="0" borderId="45" xfId="0" applyNumberFormat="1" applyFont="1" applyBorder="1" applyAlignment="1" applyProtection="1">
      <alignment horizontal="center" vertical="center"/>
      <protection locked="0"/>
    </xf>
    <xf numFmtId="165" fontId="16" fillId="0" borderId="43" xfId="0" applyNumberFormat="1" applyFont="1" applyBorder="1" applyAlignment="1">
      <alignment horizontal="center" vertical="center"/>
    </xf>
    <xf numFmtId="10" fontId="16" fillId="0" borderId="43" xfId="9" applyNumberFormat="1" applyFont="1" applyBorder="1" applyAlignment="1" applyProtection="1">
      <alignment horizontal="center" vertical="center"/>
      <protection locked="0"/>
    </xf>
    <xf numFmtId="165" fontId="16" fillId="0" borderId="36" xfId="0" applyNumberFormat="1" applyFont="1" applyBorder="1" applyAlignment="1">
      <alignment horizontal="center" vertical="center"/>
    </xf>
    <xf numFmtId="49" fontId="16" fillId="0" borderId="46" xfId="0" applyNumberFormat="1" applyFont="1" applyBorder="1" applyAlignment="1" applyProtection="1">
      <alignment horizontal="left" vertical="center" wrapText="1"/>
      <protection locked="0"/>
    </xf>
    <xf numFmtId="49" fontId="16" fillId="0" borderId="47" xfId="0" applyNumberFormat="1" applyFont="1" applyBorder="1" applyAlignment="1" applyProtection="1">
      <alignment horizontal="left" vertical="center" wrapText="1"/>
      <protection locked="0"/>
    </xf>
    <xf numFmtId="3" fontId="16" fillId="0" borderId="49" xfId="0" applyNumberFormat="1" applyFont="1" applyBorder="1" applyAlignment="1" applyProtection="1">
      <alignment horizontal="center" vertical="center"/>
      <protection locked="0"/>
    </xf>
    <xf numFmtId="2" fontId="16" fillId="0" borderId="47" xfId="0" applyNumberFormat="1" applyFont="1" applyBorder="1" applyAlignment="1" applyProtection="1">
      <alignment horizontal="center" vertical="center"/>
      <protection locked="0"/>
    </xf>
    <xf numFmtId="10" fontId="16" fillId="0" borderId="48" xfId="9" applyNumberFormat="1" applyFont="1" applyBorder="1" applyAlignment="1" applyProtection="1">
      <alignment horizontal="center" vertical="center"/>
      <protection locked="0"/>
    </xf>
    <xf numFmtId="2" fontId="16" fillId="0" borderId="49" xfId="0" applyNumberFormat="1" applyFont="1" applyBorder="1" applyAlignment="1" applyProtection="1">
      <alignment horizontal="center" vertical="center"/>
      <protection locked="0"/>
    </xf>
    <xf numFmtId="165" fontId="16" fillId="0" borderId="47" xfId="0" applyNumberFormat="1" applyFont="1" applyBorder="1" applyAlignment="1">
      <alignment horizontal="center" vertical="center"/>
    </xf>
    <xf numFmtId="10" fontId="16" fillId="0" borderId="47" xfId="9" applyNumberFormat="1" applyFont="1" applyBorder="1" applyAlignment="1" applyProtection="1">
      <alignment horizontal="center" vertical="center"/>
      <protection locked="0"/>
    </xf>
    <xf numFmtId="165" fontId="16" fillId="0" borderId="37" xfId="0" applyNumberFormat="1" applyFont="1" applyBorder="1" applyAlignment="1">
      <alignment horizontal="center" vertical="center"/>
    </xf>
    <xf numFmtId="49" fontId="16" fillId="0" borderId="38" xfId="0" applyNumberFormat="1" applyFont="1" applyBorder="1" applyAlignment="1" applyProtection="1">
      <alignment horizontal="left" vertical="center"/>
      <protection locked="0"/>
    </xf>
    <xf numFmtId="49" fontId="16" fillId="0" borderId="39" xfId="0" applyNumberFormat="1" applyFont="1" applyBorder="1" applyAlignment="1" applyProtection="1">
      <alignment horizontal="left" vertical="center"/>
      <protection locked="0"/>
    </xf>
    <xf numFmtId="166" fontId="16" fillId="0" borderId="39" xfId="0" applyNumberFormat="1" applyFont="1" applyBorder="1" applyAlignment="1" applyProtection="1">
      <alignment horizontal="center" vertical="center"/>
      <protection locked="0"/>
    </xf>
    <xf numFmtId="3" fontId="16" fillId="0" borderId="39" xfId="0" quotePrefix="1" applyNumberFormat="1" applyFont="1" applyBorder="1" applyAlignment="1" applyProtection="1">
      <alignment horizontal="center" vertical="center"/>
      <protection locked="0"/>
    </xf>
    <xf numFmtId="2" fontId="16" fillId="0" borderId="39" xfId="9" applyNumberFormat="1" applyFont="1" applyBorder="1" applyAlignment="1" applyProtection="1">
      <alignment horizontal="center" vertical="center"/>
      <protection locked="0"/>
    </xf>
    <xf numFmtId="165" fontId="16" fillId="0" borderId="50" xfId="0" applyNumberFormat="1" applyFont="1" applyBorder="1" applyAlignment="1">
      <alignment horizontal="center" vertical="center"/>
    </xf>
    <xf numFmtId="49" fontId="16" fillId="0" borderId="42" xfId="0" applyNumberFormat="1" applyFont="1" applyBorder="1" applyAlignment="1" applyProtection="1">
      <alignment horizontal="left" vertical="center"/>
      <protection locked="0"/>
    </xf>
    <xf numFmtId="49" fontId="16" fillId="0" borderId="43" xfId="0" applyNumberFormat="1" applyFont="1" applyBorder="1" applyAlignment="1" applyProtection="1">
      <alignment horizontal="left" vertical="center"/>
      <protection locked="0"/>
    </xf>
    <xf numFmtId="166" fontId="16" fillId="0" borderId="43" xfId="0" applyNumberFormat="1" applyFont="1" applyBorder="1" applyAlignment="1" applyProtection="1">
      <alignment horizontal="center" vertical="center"/>
      <protection locked="0"/>
    </xf>
    <xf numFmtId="3" fontId="16" fillId="0" borderId="43" xfId="0" applyNumberFormat="1" applyFont="1" applyBorder="1" applyAlignment="1" applyProtection="1">
      <alignment horizontal="center" vertical="center"/>
      <protection locked="0"/>
    </xf>
    <xf numFmtId="2" fontId="16" fillId="0" borderId="43" xfId="9" applyNumberFormat="1" applyFont="1" applyBorder="1" applyAlignment="1" applyProtection="1">
      <alignment horizontal="center" vertical="center"/>
      <protection locked="0"/>
    </xf>
    <xf numFmtId="165" fontId="16" fillId="0" borderId="51" xfId="0" applyNumberFormat="1" applyFont="1" applyBorder="1" applyAlignment="1">
      <alignment horizontal="center" vertical="center"/>
    </xf>
    <xf numFmtId="49" fontId="16" fillId="0" borderId="46" xfId="0" applyNumberFormat="1" applyFont="1" applyBorder="1" applyAlignment="1" applyProtection="1">
      <alignment horizontal="left" vertical="center"/>
      <protection locked="0"/>
    </xf>
    <xf numFmtId="49" fontId="16" fillId="0" borderId="47" xfId="0" applyNumberFormat="1" applyFont="1" applyBorder="1" applyAlignment="1" applyProtection="1">
      <alignment horizontal="left" vertical="center"/>
      <protection locked="0"/>
    </xf>
    <xf numFmtId="166" fontId="16" fillId="0" borderId="47" xfId="0" applyNumberFormat="1" applyFont="1" applyBorder="1" applyAlignment="1" applyProtection="1">
      <alignment horizontal="center" vertical="center"/>
      <protection locked="0"/>
    </xf>
    <xf numFmtId="3" fontId="16" fillId="0" borderId="47" xfId="0" applyNumberFormat="1" applyFont="1" applyBorder="1" applyAlignment="1" applyProtection="1">
      <alignment horizontal="center" vertical="center"/>
      <protection locked="0"/>
    </xf>
    <xf numFmtId="2" fontId="16" fillId="0" borderId="47" xfId="9" applyNumberFormat="1" applyFont="1" applyBorder="1" applyAlignment="1" applyProtection="1">
      <alignment horizontal="center" vertical="center"/>
      <protection locked="0"/>
    </xf>
    <xf numFmtId="165" fontId="16" fillId="0" borderId="52" xfId="0" applyNumberFormat="1" applyFont="1" applyBorder="1" applyAlignment="1">
      <alignment horizontal="center" vertical="center"/>
    </xf>
    <xf numFmtId="49" fontId="16" fillId="0" borderId="79" xfId="0" applyNumberFormat="1" applyFont="1" applyBorder="1" applyAlignment="1">
      <alignment horizontal="left" vertical="center"/>
    </xf>
    <xf numFmtId="49" fontId="16" fillId="0" borderId="89" xfId="0" applyNumberFormat="1" applyFont="1" applyBorder="1" applyAlignment="1">
      <alignment horizontal="left" vertical="center"/>
    </xf>
    <xf numFmtId="49" fontId="16" fillId="0" borderId="70" xfId="0" applyNumberFormat="1" applyFont="1" applyBorder="1" applyAlignment="1">
      <alignment horizontal="left" vertical="center"/>
    </xf>
    <xf numFmtId="49" fontId="16" fillId="0" borderId="95" xfId="0" applyNumberFormat="1" applyFont="1" applyBorder="1" applyAlignment="1">
      <alignment horizontal="left" vertical="center"/>
    </xf>
    <xf numFmtId="49" fontId="16" fillId="11" borderId="117" xfId="0" applyNumberFormat="1" applyFont="1" applyFill="1" applyBorder="1" applyAlignment="1">
      <alignment horizontal="center" vertical="center" wrapText="1"/>
    </xf>
    <xf numFmtId="49" fontId="16" fillId="11" borderId="118" xfId="0" applyNumberFormat="1" applyFont="1" applyFill="1" applyBorder="1" applyAlignment="1">
      <alignment horizontal="center" vertical="center" wrapText="1"/>
    </xf>
    <xf numFmtId="0" fontId="16" fillId="0" borderId="118" xfId="0" applyFont="1" applyBorder="1" applyAlignment="1">
      <alignment horizontal="center" vertical="center" wrapText="1"/>
    </xf>
    <xf numFmtId="4" fontId="16" fillId="0" borderId="45" xfId="0" applyNumberFormat="1" applyFont="1" applyBorder="1" applyAlignment="1">
      <alignment horizontal="center" vertical="center" wrapText="1"/>
    </xf>
    <xf numFmtId="4" fontId="16" fillId="0" borderId="43" xfId="0" applyNumberFormat="1" applyFont="1" applyBorder="1" applyAlignment="1">
      <alignment horizontal="center" vertical="center" wrapText="1"/>
    </xf>
    <xf numFmtId="4" fontId="16" fillId="0" borderId="36" xfId="0" applyNumberFormat="1" applyFont="1" applyBorder="1" applyAlignment="1">
      <alignment horizontal="center" vertical="center" wrapText="1"/>
    </xf>
    <xf numFmtId="0" fontId="16" fillId="0" borderId="119" xfId="0" applyFont="1" applyBorder="1" applyAlignment="1">
      <alignment horizontal="center" vertical="center" wrapText="1"/>
    </xf>
    <xf numFmtId="4" fontId="16" fillId="0" borderId="49" xfId="0" applyNumberFormat="1" applyFont="1" applyBorder="1" applyAlignment="1">
      <alignment horizontal="center" vertical="center" wrapText="1"/>
    </xf>
    <xf numFmtId="4" fontId="16" fillId="0" borderId="47" xfId="0" applyNumberFormat="1" applyFont="1" applyBorder="1" applyAlignment="1">
      <alignment horizontal="center" vertical="center" wrapText="1"/>
    </xf>
    <xf numFmtId="4" fontId="16" fillId="0" borderId="37" xfId="0" applyNumberFormat="1" applyFont="1" applyBorder="1" applyAlignment="1">
      <alignment horizontal="center" vertical="center" wrapText="1"/>
    </xf>
    <xf numFmtId="3" fontId="16" fillId="14" borderId="41" xfId="0" applyNumberFormat="1" applyFont="1" applyFill="1" applyBorder="1" applyAlignment="1">
      <alignment horizontal="center" vertical="center"/>
    </xf>
    <xf numFmtId="10" fontId="16" fillId="14" borderId="39" xfId="9" applyNumberFormat="1" applyFont="1" applyFill="1" applyBorder="1" applyAlignment="1" applyProtection="1">
      <alignment horizontal="center" vertical="center"/>
    </xf>
    <xf numFmtId="3" fontId="16" fillId="0" borderId="41" xfId="0" applyNumberFormat="1" applyFont="1" applyBorder="1" applyAlignment="1">
      <alignment horizontal="center" vertical="center"/>
    </xf>
    <xf numFmtId="10" fontId="16" fillId="0" borderId="39" xfId="9" applyNumberFormat="1" applyFont="1" applyBorder="1" applyAlignment="1" applyProtection="1">
      <alignment horizontal="center" vertical="center"/>
    </xf>
    <xf numFmtId="10" fontId="16" fillId="0" borderId="39" xfId="9" applyNumberFormat="1" applyFont="1" applyFill="1" applyBorder="1" applyAlignment="1" applyProtection="1">
      <alignment horizontal="center" vertical="center"/>
      <protection locked="0"/>
    </xf>
    <xf numFmtId="3" fontId="16" fillId="0" borderId="45" xfId="0" applyNumberFormat="1" applyFont="1" applyBorder="1" applyAlignment="1">
      <alignment horizontal="center" vertical="center"/>
    </xf>
    <xf numFmtId="10" fontId="16" fillId="0" borderId="43" xfId="9" applyNumberFormat="1" applyFont="1" applyBorder="1" applyAlignment="1" applyProtection="1">
      <alignment horizontal="center" vertical="center"/>
    </xf>
    <xf numFmtId="3" fontId="16" fillId="0" borderId="49" xfId="0" applyNumberFormat="1" applyFont="1" applyBorder="1" applyAlignment="1">
      <alignment horizontal="center" vertical="center"/>
    </xf>
    <xf numFmtId="10" fontId="16" fillId="0" borderId="47" xfId="9" applyNumberFormat="1" applyFont="1" applyBorder="1" applyAlignment="1" applyProtection="1">
      <alignment horizontal="center" vertical="center"/>
    </xf>
    <xf numFmtId="0" fontId="16" fillId="11" borderId="38" xfId="0" applyFont="1" applyFill="1" applyBorder="1" applyAlignment="1">
      <alignment horizontal="left" vertical="center" wrapText="1"/>
    </xf>
    <xf numFmtId="0" fontId="16" fillId="11" borderId="39" xfId="0" applyFont="1" applyFill="1" applyBorder="1" applyAlignment="1">
      <alignment horizontal="left" vertical="center" wrapText="1"/>
    </xf>
    <xf numFmtId="166" fontId="16" fillId="11" borderId="39" xfId="0" applyNumberFormat="1" applyFont="1" applyFill="1" applyBorder="1" applyAlignment="1">
      <alignment horizontal="center" vertical="center" wrapText="1"/>
    </xf>
    <xf numFmtId="3" fontId="16" fillId="11" borderId="41" xfId="0" applyNumberFormat="1" applyFont="1" applyFill="1" applyBorder="1" applyAlignment="1" applyProtection="1">
      <alignment horizontal="center" vertical="center"/>
      <protection locked="0"/>
    </xf>
    <xf numFmtId="10" fontId="16" fillId="11" borderId="39" xfId="9" applyNumberFormat="1" applyFont="1" applyFill="1" applyBorder="1" applyAlignment="1" applyProtection="1">
      <alignment horizontal="center" vertical="center"/>
      <protection locked="0"/>
    </xf>
    <xf numFmtId="0" fontId="16" fillId="11" borderId="42" xfId="0" applyFont="1" applyFill="1" applyBorder="1" applyAlignment="1">
      <alignment horizontal="left" vertical="center" wrapText="1"/>
    </xf>
    <xf numFmtId="0" fontId="16" fillId="11" borderId="43" xfId="0" applyFont="1" applyFill="1" applyBorder="1" applyAlignment="1">
      <alignment horizontal="left" vertical="center" wrapText="1"/>
    </xf>
    <xf numFmtId="166" fontId="16" fillId="11" borderId="43" xfId="0" applyNumberFormat="1" applyFont="1" applyFill="1" applyBorder="1" applyAlignment="1">
      <alignment horizontal="center" vertical="center" wrapText="1"/>
    </xf>
    <xf numFmtId="3" fontId="16" fillId="15" borderId="45" xfId="0" applyNumberFormat="1" applyFont="1" applyFill="1" applyBorder="1" applyAlignment="1" applyProtection="1">
      <alignment horizontal="center" vertical="center"/>
      <protection locked="0"/>
    </xf>
    <xf numFmtId="3" fontId="16" fillId="15" borderId="45" xfId="0" applyNumberFormat="1" applyFont="1" applyFill="1" applyBorder="1" applyAlignment="1">
      <alignment horizontal="center" vertical="center"/>
    </xf>
    <xf numFmtId="165" fontId="16" fillId="15" borderId="43" xfId="0" applyNumberFormat="1" applyFont="1" applyFill="1" applyBorder="1" applyAlignment="1">
      <alignment horizontal="center" vertical="center"/>
    </xf>
    <xf numFmtId="10" fontId="16" fillId="15" borderId="43" xfId="9" applyNumberFormat="1" applyFont="1" applyFill="1" applyBorder="1" applyAlignment="1" applyProtection="1">
      <alignment horizontal="center" vertical="center"/>
      <protection locked="0"/>
    </xf>
    <xf numFmtId="10" fontId="16" fillId="15" borderId="43" xfId="9" applyNumberFormat="1" applyFont="1" applyFill="1" applyBorder="1" applyAlignment="1" applyProtection="1">
      <alignment horizontal="center" vertical="center"/>
    </xf>
    <xf numFmtId="3" fontId="16" fillId="11" borderId="45" xfId="0" applyNumberFormat="1" applyFont="1" applyFill="1" applyBorder="1" applyAlignment="1" applyProtection="1">
      <alignment horizontal="center" vertical="center"/>
      <protection locked="0"/>
    </xf>
    <xf numFmtId="0" fontId="16" fillId="0" borderId="38" xfId="0" applyFont="1" applyBorder="1" applyAlignment="1">
      <alignment horizontal="left" vertical="center" wrapText="1"/>
    </xf>
    <xf numFmtId="0" fontId="16" fillId="0" borderId="39" xfId="0" applyFont="1" applyBorder="1" applyAlignment="1">
      <alignment horizontal="left" vertical="center" wrapText="1"/>
    </xf>
    <xf numFmtId="166" fontId="16" fillId="0" borderId="39" xfId="0" applyNumberFormat="1" applyFont="1" applyBorder="1" applyAlignment="1">
      <alignment horizontal="center" vertical="center" wrapText="1"/>
    </xf>
    <xf numFmtId="0" fontId="16" fillId="0" borderId="42" xfId="0" applyFont="1" applyBorder="1" applyAlignment="1">
      <alignment horizontal="left" vertical="center" wrapText="1"/>
    </xf>
    <xf numFmtId="0" fontId="16" fillId="0" borderId="43" xfId="0" applyFont="1" applyBorder="1" applyAlignment="1">
      <alignment horizontal="left" vertical="center" wrapText="1"/>
    </xf>
    <xf numFmtId="166" fontId="16" fillId="0" borderId="43" xfId="0" applyNumberFormat="1" applyFont="1" applyBorder="1" applyAlignment="1">
      <alignment horizontal="center" vertical="center" wrapText="1"/>
    </xf>
    <xf numFmtId="0" fontId="16" fillId="0" borderId="46" xfId="0" applyFont="1" applyBorder="1" applyAlignment="1">
      <alignment horizontal="left" vertical="center" wrapText="1"/>
    </xf>
    <xf numFmtId="0" fontId="16" fillId="0" borderId="47" xfId="0" applyFont="1" applyBorder="1" applyAlignment="1">
      <alignment horizontal="left" vertical="center" wrapText="1"/>
    </xf>
    <xf numFmtId="166" fontId="16" fillId="0" borderId="47" xfId="0" applyNumberFormat="1" applyFont="1" applyBorder="1" applyAlignment="1">
      <alignment horizontal="center" vertical="center" wrapText="1"/>
    </xf>
    <xf numFmtId="0" fontId="16" fillId="0" borderId="96" xfId="0" applyFont="1" applyBorder="1" applyAlignment="1">
      <alignment vertical="center" wrapText="1"/>
    </xf>
    <xf numFmtId="0" fontId="16" fillId="9" borderId="175" xfId="0" applyFont="1" applyFill="1" applyBorder="1" applyAlignment="1">
      <alignment vertical="center" wrapText="1"/>
    </xf>
    <xf numFmtId="49" fontId="16" fillId="0" borderId="118" xfId="0" applyNumberFormat="1" applyFont="1" applyBorder="1" applyAlignment="1" applyProtection="1">
      <alignment horizontal="center" vertical="center" wrapText="1"/>
      <protection locked="0"/>
    </xf>
    <xf numFmtId="49" fontId="16" fillId="0" borderId="119" xfId="0" applyNumberFormat="1" applyFont="1" applyBorder="1" applyAlignment="1" applyProtection="1">
      <alignment horizontal="center" vertical="center" wrapText="1"/>
      <protection locked="0"/>
    </xf>
    <xf numFmtId="49" fontId="39" fillId="11" borderId="0" xfId="0" applyNumberFormat="1" applyFont="1" applyFill="1"/>
    <xf numFmtId="49" fontId="39" fillId="11" borderId="0" xfId="0" applyNumberFormat="1" applyFont="1" applyFill="1" applyAlignment="1">
      <alignment horizontal="center" vertical="center"/>
    </xf>
    <xf numFmtId="49" fontId="16" fillId="0" borderId="144" xfId="0" applyNumberFormat="1" applyFont="1" applyBorder="1" applyAlignment="1" applyProtection="1">
      <alignment vertical="center" wrapText="1"/>
      <protection locked="0"/>
    </xf>
    <xf numFmtId="49" fontId="16" fillId="0" borderId="42" xfId="0" applyNumberFormat="1" applyFont="1" applyBorder="1" applyAlignment="1" applyProtection="1">
      <alignment vertical="center" wrapText="1"/>
      <protection locked="0"/>
    </xf>
    <xf numFmtId="49" fontId="16" fillId="0" borderId="46" xfId="0" applyNumberFormat="1" applyFont="1" applyBorder="1" applyAlignment="1" applyProtection="1">
      <alignment vertical="center" wrapText="1"/>
      <protection locked="0"/>
    </xf>
    <xf numFmtId="179" fontId="8" fillId="0" borderId="68" xfId="0" applyNumberFormat="1" applyFont="1" applyBorder="1" applyAlignment="1" applyProtection="1">
      <alignment horizontal="center" vertical="center"/>
      <protection locked="0"/>
    </xf>
    <xf numFmtId="179" fontId="8" fillId="0" borderId="66" xfId="0" applyNumberFormat="1" applyFont="1" applyBorder="1" applyAlignment="1" applyProtection="1">
      <alignment horizontal="center" vertical="center"/>
      <protection locked="0"/>
    </xf>
    <xf numFmtId="0" fontId="16" fillId="9" borderId="160" xfId="0" applyFont="1" applyFill="1" applyBorder="1" applyAlignment="1">
      <alignment vertical="center" wrapText="1"/>
    </xf>
    <xf numFmtId="180" fontId="16" fillId="0" borderId="117" xfId="0" applyNumberFormat="1" applyFont="1" applyBorder="1" applyAlignment="1" applyProtection="1">
      <alignment horizontal="center" vertical="center"/>
      <protection locked="0"/>
    </xf>
    <xf numFmtId="180" fontId="16" fillId="0" borderId="118" xfId="0" applyNumberFormat="1" applyFont="1" applyBorder="1" applyAlignment="1" applyProtection="1">
      <alignment horizontal="center" vertical="center"/>
      <protection locked="0"/>
    </xf>
    <xf numFmtId="180" fontId="16" fillId="0" borderId="119" xfId="0" applyNumberFormat="1" applyFont="1" applyBorder="1" applyAlignment="1" applyProtection="1">
      <alignment horizontal="center" vertical="center"/>
      <protection locked="0"/>
    </xf>
    <xf numFmtId="165" fontId="16" fillId="0" borderId="117" xfId="0" applyNumberFormat="1" applyFont="1" applyBorder="1" applyAlignment="1" applyProtection="1">
      <alignment horizontal="center" vertical="center"/>
      <protection locked="0"/>
    </xf>
    <xf numFmtId="165" fontId="16" fillId="0" borderId="118" xfId="0" applyNumberFormat="1" applyFont="1" applyBorder="1" applyAlignment="1" applyProtection="1">
      <alignment horizontal="center" vertical="center"/>
      <protection locked="0"/>
    </xf>
    <xf numFmtId="165" fontId="16" fillId="0" borderId="119" xfId="0" applyNumberFormat="1" applyFont="1" applyBorder="1" applyAlignment="1" applyProtection="1">
      <alignment horizontal="center" vertical="center"/>
      <protection locked="0"/>
    </xf>
    <xf numFmtId="0" fontId="19" fillId="0" borderId="133" xfId="0" applyFont="1" applyBorder="1" applyAlignment="1">
      <alignment horizontal="center" vertical="center" wrapText="1"/>
    </xf>
    <xf numFmtId="4" fontId="19" fillId="0" borderId="134" xfId="0" applyNumberFormat="1" applyFont="1" applyBorder="1" applyAlignment="1">
      <alignment horizontal="center" vertical="center" wrapText="1"/>
    </xf>
    <xf numFmtId="165" fontId="19" fillId="0" borderId="134" xfId="0" applyNumberFormat="1" applyFont="1" applyBorder="1" applyAlignment="1">
      <alignment horizontal="center" vertical="center" wrapText="1"/>
    </xf>
    <xf numFmtId="0" fontId="19" fillId="0" borderId="134" xfId="0" applyFont="1" applyBorder="1" applyAlignment="1">
      <alignment horizontal="center" vertical="center" wrapText="1"/>
    </xf>
    <xf numFmtId="0" fontId="8" fillId="11" borderId="0" xfId="0" quotePrefix="1" applyFont="1" applyFill="1" applyAlignment="1">
      <alignment horizontal="center" vertical="center" wrapText="1"/>
    </xf>
    <xf numFmtId="0" fontId="60" fillId="11" borderId="0" xfId="0" applyFont="1" applyFill="1" applyAlignment="1">
      <alignment vertical="top"/>
    </xf>
    <xf numFmtId="0" fontId="0" fillId="11" borderId="0" xfId="0" quotePrefix="1" applyFill="1"/>
    <xf numFmtId="0" fontId="39" fillId="11" borderId="1" xfId="0" applyFont="1" applyFill="1" applyBorder="1" applyAlignment="1" applyProtection="1">
      <alignment vertical="center"/>
      <protection locked="0"/>
    </xf>
    <xf numFmtId="4" fontId="19" fillId="0" borderId="1" xfId="0" quotePrefix="1" applyNumberFormat="1" applyFont="1" applyBorder="1" applyAlignment="1">
      <alignment horizontal="center" vertical="center" wrapText="1"/>
    </xf>
    <xf numFmtId="0" fontId="16" fillId="11" borderId="143" xfId="0" applyFont="1" applyFill="1" applyBorder="1" applyAlignment="1">
      <alignment vertical="center"/>
    </xf>
    <xf numFmtId="4" fontId="16" fillId="0" borderId="17" xfId="0" applyNumberFormat="1" applyFont="1" applyBorder="1" applyAlignment="1" applyProtection="1">
      <alignment horizontal="center" vertical="center" wrapText="1"/>
      <protection locked="0"/>
    </xf>
    <xf numFmtId="4" fontId="16" fillId="0" borderId="18" xfId="0" applyNumberFormat="1" applyFont="1" applyBorder="1" applyAlignment="1" applyProtection="1">
      <alignment horizontal="center" vertical="center" wrapText="1"/>
      <protection locked="0"/>
    </xf>
    <xf numFmtId="0" fontId="49" fillId="11" borderId="17" xfId="5" applyFont="1" applyFill="1" applyBorder="1" applyAlignment="1" applyProtection="1">
      <alignment horizontal="center" vertical="center" wrapText="1"/>
    </xf>
    <xf numFmtId="175" fontId="46" fillId="11" borderId="116" xfId="0" applyNumberFormat="1" applyFont="1" applyFill="1" applyBorder="1" applyAlignment="1">
      <alignment horizontal="left" vertical="center" wrapText="1"/>
    </xf>
    <xf numFmtId="4" fontId="16" fillId="11" borderId="181" xfId="0" applyNumberFormat="1" applyFont="1" applyFill="1" applyBorder="1" applyAlignment="1">
      <alignment horizontal="center" vertical="center" wrapText="1"/>
    </xf>
    <xf numFmtId="4" fontId="16" fillId="0" borderId="142" xfId="0" applyNumberFormat="1" applyFont="1" applyBorder="1" applyAlignment="1" applyProtection="1">
      <alignment horizontal="center" vertical="center" wrapText="1"/>
      <protection locked="0"/>
    </xf>
    <xf numFmtId="4" fontId="16" fillId="0" borderId="115" xfId="0" applyNumberFormat="1" applyFont="1" applyBorder="1" applyAlignment="1" applyProtection="1">
      <alignment horizontal="center" vertical="center" wrapText="1"/>
      <protection locked="0"/>
    </xf>
    <xf numFmtId="0" fontId="8" fillId="11" borderId="1" xfId="0" applyFont="1" applyFill="1" applyBorder="1" applyAlignment="1" applyProtection="1">
      <alignment vertical="center"/>
      <protection locked="0"/>
    </xf>
    <xf numFmtId="4" fontId="16" fillId="0" borderId="19" xfId="0" applyNumberFormat="1" applyFont="1" applyBorder="1" applyAlignment="1" applyProtection="1">
      <alignment horizontal="center" vertical="center" wrapText="1"/>
      <protection locked="0"/>
    </xf>
    <xf numFmtId="4" fontId="16" fillId="11" borderId="110" xfId="0" applyNumberFormat="1" applyFont="1" applyFill="1" applyBorder="1" applyAlignment="1">
      <alignment horizontal="center" vertical="center" wrapText="1"/>
    </xf>
    <xf numFmtId="4" fontId="16" fillId="11" borderId="142" xfId="0" applyNumberFormat="1" applyFont="1" applyFill="1" applyBorder="1" applyAlignment="1">
      <alignment horizontal="center" vertical="center" wrapText="1"/>
    </xf>
    <xf numFmtId="175" fontId="46" fillId="11" borderId="143" xfId="0" applyNumberFormat="1" applyFont="1" applyFill="1" applyBorder="1" applyAlignment="1">
      <alignment horizontal="right" vertical="center"/>
    </xf>
    <xf numFmtId="4" fontId="16" fillId="2" borderId="36" xfId="0" applyNumberFormat="1" applyFont="1" applyFill="1" applyBorder="1" applyAlignment="1">
      <alignment horizontal="center" vertical="center" wrapText="1"/>
    </xf>
    <xf numFmtId="0" fontId="16" fillId="0" borderId="59" xfId="0" applyFont="1" applyBorder="1" applyAlignment="1">
      <alignment horizontal="left" vertical="center" wrapText="1"/>
    </xf>
    <xf numFmtId="0" fontId="16" fillId="0" borderId="60" xfId="0" applyFont="1" applyBorder="1" applyAlignment="1">
      <alignment horizontal="left" vertical="center" wrapText="1"/>
    </xf>
    <xf numFmtId="0" fontId="16" fillId="6" borderId="133" xfId="0" applyFont="1" applyFill="1" applyBorder="1" applyAlignment="1">
      <alignment horizontal="center" vertical="center" wrapText="1"/>
    </xf>
    <xf numFmtId="0" fontId="8" fillId="11" borderId="1" xfId="0" applyFont="1" applyFill="1" applyBorder="1" applyAlignment="1" applyProtection="1">
      <alignment horizontal="center" vertical="center"/>
      <protection locked="0"/>
    </xf>
    <xf numFmtId="0" fontId="0" fillId="11" borderId="111" xfId="0" applyFill="1" applyBorder="1" applyAlignment="1">
      <alignment vertical="center"/>
    </xf>
    <xf numFmtId="0" fontId="16" fillId="6" borderId="182" xfId="0" applyFont="1" applyFill="1" applyBorder="1" applyAlignment="1">
      <alignment horizontal="center" vertical="center" wrapText="1"/>
    </xf>
    <xf numFmtId="9" fontId="0" fillId="6" borderId="152" xfId="9" applyFont="1" applyFill="1" applyBorder="1" applyAlignment="1">
      <alignment horizontal="center" vertical="center" wrapText="1"/>
    </xf>
    <xf numFmtId="9" fontId="0" fillId="6" borderId="4" xfId="9" applyFont="1" applyFill="1" applyBorder="1" applyAlignment="1">
      <alignment horizontal="center" vertical="center" wrapText="1"/>
    </xf>
    <xf numFmtId="0" fontId="0" fillId="6" borderId="4" xfId="0" applyFill="1" applyBorder="1" applyAlignment="1">
      <alignment horizontal="center" vertical="center" wrapText="1"/>
    </xf>
    <xf numFmtId="9" fontId="0" fillId="6" borderId="182" xfId="9" applyFont="1" applyFill="1" applyBorder="1" applyAlignment="1">
      <alignment horizontal="center" vertical="center" wrapText="1"/>
    </xf>
    <xf numFmtId="0" fontId="0" fillId="6" borderId="182" xfId="0" applyFill="1" applyBorder="1" applyAlignment="1">
      <alignment horizontal="center" vertical="center" wrapText="1"/>
    </xf>
    <xf numFmtId="0" fontId="7" fillId="11" borderId="0" xfId="0" applyFont="1" applyFill="1"/>
    <xf numFmtId="0" fontId="16" fillId="11" borderId="143" xfId="0" applyFont="1" applyFill="1" applyBorder="1" applyAlignment="1">
      <alignment horizontal="left" vertical="center"/>
    </xf>
    <xf numFmtId="175" fontId="16" fillId="11" borderId="132" xfId="0" applyNumberFormat="1" applyFont="1" applyFill="1" applyBorder="1" applyAlignment="1">
      <alignment horizontal="right" vertical="center"/>
    </xf>
    <xf numFmtId="0" fontId="16" fillId="11" borderId="132" xfId="0" applyFont="1" applyFill="1" applyBorder="1" applyAlignment="1">
      <alignment horizontal="left" vertical="center"/>
    </xf>
    <xf numFmtId="0" fontId="16" fillId="12" borderId="20" xfId="0" applyFont="1" applyFill="1" applyBorder="1" applyAlignment="1">
      <alignment horizontal="left" vertical="center"/>
    </xf>
    <xf numFmtId="0" fontId="16" fillId="3" borderId="20" xfId="0" applyFont="1" applyFill="1" applyBorder="1" applyAlignment="1">
      <alignment horizontal="lef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2" fontId="16" fillId="11" borderId="0" xfId="0" applyNumberFormat="1" applyFont="1" applyFill="1" applyAlignment="1">
      <alignment horizontal="center" vertical="center"/>
    </xf>
    <xf numFmtId="0" fontId="7" fillId="11" borderId="12" xfId="0" applyFont="1" applyFill="1" applyBorder="1" applyAlignment="1">
      <alignment horizontal="center" vertical="center"/>
    </xf>
    <xf numFmtId="0" fontId="7" fillId="11" borderId="12" xfId="0" applyFont="1" applyFill="1" applyBorder="1" applyAlignment="1">
      <alignment horizontal="center" vertical="center" wrapText="1"/>
    </xf>
    <xf numFmtId="0" fontId="7" fillId="11" borderId="31" xfId="0" applyFont="1" applyFill="1" applyBorder="1" applyAlignment="1">
      <alignment horizontal="center" vertical="center" wrapText="1"/>
    </xf>
    <xf numFmtId="0" fontId="8" fillId="0" borderId="0" xfId="0" applyFont="1"/>
    <xf numFmtId="0" fontId="46" fillId="11" borderId="143" xfId="5" applyFont="1" applyFill="1" applyBorder="1" applyAlignment="1" applyProtection="1">
      <alignment horizontal="left" vertical="center" wrapText="1"/>
    </xf>
    <xf numFmtId="10" fontId="7" fillId="11" borderId="12" xfId="0" applyNumberFormat="1" applyFont="1" applyFill="1" applyBorder="1" applyAlignment="1">
      <alignment horizontal="center" vertical="center" wrapText="1"/>
    </xf>
    <xf numFmtId="49" fontId="16" fillId="0" borderId="39" xfId="0" applyNumberFormat="1" applyFont="1" applyBorder="1" applyAlignment="1" applyProtection="1">
      <alignment horizontal="center" vertical="center" wrapText="1"/>
      <protection locked="0"/>
    </xf>
    <xf numFmtId="49" fontId="16" fillId="0" borderId="43" xfId="0" applyNumberFormat="1" applyFont="1" applyBorder="1" applyAlignment="1" applyProtection="1">
      <alignment horizontal="center" vertical="center" wrapText="1"/>
      <protection locked="0"/>
    </xf>
    <xf numFmtId="49" fontId="16" fillId="0" borderId="47" xfId="0" applyNumberFormat="1" applyFont="1" applyBorder="1" applyAlignment="1" applyProtection="1">
      <alignment horizontal="center" vertical="center" wrapText="1"/>
      <protection locked="0"/>
    </xf>
    <xf numFmtId="49" fontId="16" fillId="11" borderId="39" xfId="0" applyNumberFormat="1" applyFont="1" applyFill="1" applyBorder="1" applyAlignment="1">
      <alignment horizontal="center" vertical="center" wrapText="1"/>
    </xf>
    <xf numFmtId="49" fontId="16" fillId="11" borderId="43" xfId="0" applyNumberFormat="1" applyFont="1" applyFill="1" applyBorder="1" applyAlignment="1">
      <alignment horizontal="center" vertical="center" wrapText="1"/>
    </xf>
    <xf numFmtId="2" fontId="16" fillId="16" borderId="41" xfId="0" applyNumberFormat="1" applyFont="1" applyFill="1" applyBorder="1" applyAlignment="1">
      <alignment horizontal="center" vertical="center"/>
    </xf>
    <xf numFmtId="10" fontId="16" fillId="16" borderId="44" xfId="9" applyNumberFormat="1" applyFont="1" applyFill="1" applyBorder="1" applyAlignment="1" applyProtection="1">
      <alignment horizontal="center" vertical="center"/>
    </xf>
    <xf numFmtId="0" fontId="0" fillId="11" borderId="143" xfId="0" applyFill="1" applyBorder="1" applyAlignment="1">
      <alignment horizontal="center" vertical="center"/>
    </xf>
    <xf numFmtId="49" fontId="16" fillId="0" borderId="39" xfId="0" applyNumberFormat="1" applyFont="1" applyBorder="1" applyAlignment="1" applyProtection="1">
      <alignment horizontal="center" vertical="center"/>
      <protection locked="0"/>
    </xf>
    <xf numFmtId="49" fontId="16" fillId="0" borderId="43" xfId="0" applyNumberFormat="1" applyFont="1" applyBorder="1" applyAlignment="1" applyProtection="1">
      <alignment horizontal="center" vertical="center"/>
      <protection locked="0"/>
    </xf>
    <xf numFmtId="49" fontId="16" fillId="0" borderId="47" xfId="0" applyNumberFormat="1" applyFont="1" applyBorder="1" applyAlignment="1" applyProtection="1">
      <alignment horizontal="center" vertical="center"/>
      <protection locked="0"/>
    </xf>
    <xf numFmtId="49" fontId="16" fillId="11" borderId="38" xfId="0" applyNumberFormat="1" applyFont="1" applyFill="1" applyBorder="1" applyAlignment="1">
      <alignment horizontal="left" vertical="center"/>
    </xf>
    <xf numFmtId="49" fontId="16" fillId="11" borderId="39" xfId="0" applyNumberFormat="1" applyFont="1" applyFill="1" applyBorder="1" applyAlignment="1">
      <alignment horizontal="left" vertical="center"/>
    </xf>
    <xf numFmtId="166" fontId="16" fillId="11" borderId="39" xfId="0" applyNumberFormat="1" applyFont="1" applyFill="1" applyBorder="1" applyAlignment="1">
      <alignment horizontal="center" vertical="center"/>
    </xf>
    <xf numFmtId="49" fontId="16" fillId="11" borderId="39" xfId="0" applyNumberFormat="1" applyFont="1" applyFill="1" applyBorder="1" applyAlignment="1">
      <alignment horizontal="center" vertical="center"/>
    </xf>
    <xf numFmtId="3" fontId="16" fillId="11" borderId="39" xfId="0" quotePrefix="1" applyNumberFormat="1" applyFont="1" applyFill="1" applyBorder="1" applyAlignment="1">
      <alignment horizontal="center" vertical="center"/>
    </xf>
    <xf numFmtId="2" fontId="16" fillId="11" borderId="39" xfId="9" applyNumberFormat="1" applyFont="1" applyFill="1" applyBorder="1" applyAlignment="1" applyProtection="1">
      <alignment horizontal="center" vertical="center"/>
    </xf>
    <xf numFmtId="2" fontId="16" fillId="11" borderId="41" xfId="0" applyNumberFormat="1" applyFont="1" applyFill="1" applyBorder="1" applyAlignment="1">
      <alignment horizontal="center" vertical="center"/>
    </xf>
    <xf numFmtId="165" fontId="16" fillId="11" borderId="50"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xf>
    <xf numFmtId="49" fontId="16" fillId="11" borderId="43" xfId="0" applyNumberFormat="1" applyFont="1" applyFill="1" applyBorder="1" applyAlignment="1">
      <alignment horizontal="left" vertical="center"/>
    </xf>
    <xf numFmtId="166" fontId="16" fillId="11" borderId="43" xfId="0" applyNumberFormat="1" applyFont="1" applyFill="1" applyBorder="1" applyAlignment="1">
      <alignment horizontal="center" vertical="center"/>
    </xf>
    <xf numFmtId="49" fontId="16" fillId="17" borderId="43" xfId="0" applyNumberFormat="1" applyFont="1" applyFill="1" applyBorder="1" applyAlignment="1">
      <alignment horizontal="center" vertical="center"/>
    </xf>
    <xf numFmtId="2" fontId="16" fillId="11" borderId="43" xfId="9" applyNumberFormat="1" applyFont="1" applyFill="1" applyBorder="1" applyAlignment="1" applyProtection="1">
      <alignment horizontal="center" vertical="center"/>
    </xf>
    <xf numFmtId="165" fontId="16" fillId="11" borderId="51" xfId="0" applyNumberFormat="1" applyFont="1" applyFill="1" applyBorder="1" applyAlignment="1">
      <alignment horizontal="center" vertical="center"/>
    </xf>
    <xf numFmtId="49" fontId="16" fillId="11" borderId="43" xfId="0" applyNumberFormat="1" applyFont="1" applyFill="1" applyBorder="1" applyAlignment="1">
      <alignment horizontal="center" vertical="center"/>
    </xf>
    <xf numFmtId="3" fontId="16" fillId="11" borderId="43" xfId="0" applyNumberFormat="1" applyFont="1" applyFill="1" applyBorder="1" applyAlignment="1">
      <alignment horizontal="center" vertical="center"/>
    </xf>
    <xf numFmtId="3" fontId="16" fillId="17" borderId="43" xfId="0" applyNumberFormat="1" applyFont="1" applyFill="1" applyBorder="1" applyAlignment="1">
      <alignment horizontal="center" vertical="center"/>
    </xf>
    <xf numFmtId="3" fontId="16" fillId="17" borderId="45" xfId="0" applyNumberFormat="1" applyFont="1" applyFill="1" applyBorder="1" applyAlignment="1">
      <alignment horizontal="center" vertical="center"/>
    </xf>
    <xf numFmtId="10" fontId="16" fillId="17" borderId="43" xfId="9" applyNumberFormat="1" applyFont="1" applyFill="1" applyBorder="1" applyAlignment="1" applyProtection="1">
      <alignment horizontal="center" vertical="center"/>
    </xf>
    <xf numFmtId="0" fontId="46" fillId="11" borderId="0" xfId="0" applyFont="1" applyFill="1" applyAlignment="1">
      <alignment vertical="center"/>
    </xf>
    <xf numFmtId="0" fontId="20" fillId="11" borderId="12" xfId="0" applyFont="1" applyFill="1" applyBorder="1" applyAlignment="1">
      <alignment horizontal="center" vertical="center" wrapText="1"/>
    </xf>
    <xf numFmtId="0" fontId="3" fillId="11" borderId="15" xfId="0" applyFont="1" applyFill="1" applyBorder="1" applyAlignment="1">
      <alignment horizontal="center" vertical="center"/>
    </xf>
    <xf numFmtId="2" fontId="46" fillId="11" borderId="39" xfId="0" applyNumberFormat="1" applyFont="1" applyFill="1" applyBorder="1" applyAlignment="1">
      <alignment horizontal="center" vertical="center"/>
    </xf>
    <xf numFmtId="2" fontId="46" fillId="17" borderId="43" xfId="0" applyNumberFormat="1" applyFont="1" applyFill="1" applyBorder="1" applyAlignment="1">
      <alignment horizontal="center" vertical="center"/>
    </xf>
    <xf numFmtId="0" fontId="50" fillId="11" borderId="0" xfId="0" applyFont="1" applyFill="1" applyAlignment="1">
      <alignment vertical="center"/>
    </xf>
    <xf numFmtId="0" fontId="39" fillId="0" borderId="0" xfId="0" applyFont="1"/>
    <xf numFmtId="2" fontId="46" fillId="0" borderId="39" xfId="0" applyNumberFormat="1" applyFont="1" applyBorder="1" applyAlignment="1" applyProtection="1">
      <alignment horizontal="center" vertical="center"/>
      <protection locked="0"/>
    </xf>
    <xf numFmtId="2" fontId="46" fillId="0" borderId="43" xfId="0" applyNumberFormat="1" applyFont="1" applyBorder="1" applyAlignment="1" applyProtection="1">
      <alignment horizontal="center" vertical="center"/>
      <protection locked="0"/>
    </xf>
    <xf numFmtId="2" fontId="46" fillId="0" borderId="47" xfId="0" applyNumberFormat="1" applyFont="1" applyBorder="1" applyAlignment="1" applyProtection="1">
      <alignment horizontal="center" vertical="center"/>
      <protection locked="0"/>
    </xf>
    <xf numFmtId="0" fontId="16" fillId="0" borderId="41"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9" xfId="0" applyFont="1" applyBorder="1" applyAlignment="1">
      <alignment horizontal="center" vertical="center" wrapText="1"/>
    </xf>
    <xf numFmtId="166" fontId="16" fillId="11" borderId="45" xfId="0" applyNumberFormat="1" applyFont="1" applyFill="1" applyBorder="1" applyAlignment="1">
      <alignment horizontal="center" vertical="center" wrapText="1"/>
    </xf>
    <xf numFmtId="0" fontId="8" fillId="11" borderId="71" xfId="0" applyFont="1" applyFill="1" applyBorder="1" applyAlignment="1">
      <alignment vertical="center"/>
    </xf>
    <xf numFmtId="0" fontId="7" fillId="11" borderId="0" xfId="0" applyFont="1" applyFill="1" applyAlignment="1">
      <alignment horizontal="left" vertical="center" wrapText="1"/>
    </xf>
    <xf numFmtId="0" fontId="8" fillId="11" borderId="1" xfId="0" applyFont="1" applyFill="1" applyBorder="1" applyAlignment="1">
      <alignment vertical="center" wrapText="1"/>
    </xf>
    <xf numFmtId="0" fontId="8" fillId="11" borderId="1" xfId="0" applyFont="1" applyFill="1" applyBorder="1" applyAlignment="1">
      <alignment horizontal="center" vertical="center" wrapText="1"/>
    </xf>
    <xf numFmtId="0" fontId="64" fillId="11" borderId="0" xfId="0" applyFont="1" applyFill="1" applyAlignment="1">
      <alignment vertical="center"/>
    </xf>
    <xf numFmtId="0" fontId="16" fillId="11" borderId="0" xfId="0" applyFont="1" applyFill="1" applyAlignment="1">
      <alignment horizontal="center" vertical="center"/>
    </xf>
    <xf numFmtId="0" fontId="16" fillId="11" borderId="0" xfId="0" applyFont="1" applyFill="1" applyAlignment="1">
      <alignment horizontal="center"/>
    </xf>
    <xf numFmtId="0" fontId="0" fillId="11" borderId="0" xfId="0" applyFill="1" applyAlignment="1">
      <alignment horizontal="center"/>
    </xf>
    <xf numFmtId="0" fontId="16" fillId="9" borderId="118" xfId="0" applyFont="1" applyFill="1" applyBorder="1" applyAlignment="1" applyProtection="1">
      <alignment horizontal="center" vertical="center"/>
      <protection locked="0"/>
    </xf>
    <xf numFmtId="0" fontId="16" fillId="11" borderId="118" xfId="0" applyFont="1" applyFill="1" applyBorder="1" applyAlignment="1">
      <alignment horizontal="center" vertical="center"/>
    </xf>
    <xf numFmtId="0" fontId="16" fillId="0" borderId="118" xfId="0" applyFont="1" applyBorder="1" applyAlignment="1">
      <alignment horizontal="center" vertical="center"/>
    </xf>
    <xf numFmtId="0" fontId="0" fillId="11" borderId="0" xfId="0" applyFill="1" applyAlignment="1" applyProtection="1">
      <alignment vertical="center"/>
      <protection locked="0"/>
    </xf>
    <xf numFmtId="0" fontId="50" fillId="7" borderId="30" xfId="0" applyFont="1" applyFill="1" applyBorder="1" applyAlignment="1">
      <alignment vertical="center"/>
    </xf>
    <xf numFmtId="166" fontId="50" fillId="7" borderId="7" xfId="0" applyNumberFormat="1" applyFont="1" applyFill="1" applyBorder="1" applyAlignment="1">
      <alignment horizontal="center" vertical="center"/>
    </xf>
    <xf numFmtId="0" fontId="50" fillId="7" borderId="7" xfId="0" applyFont="1" applyFill="1" applyBorder="1" applyAlignment="1">
      <alignment vertical="center"/>
    </xf>
    <xf numFmtId="0" fontId="50" fillId="7" borderId="9" xfId="0" applyFont="1" applyFill="1" applyBorder="1" applyAlignment="1">
      <alignment vertical="center"/>
    </xf>
    <xf numFmtId="166" fontId="50" fillId="7" borderId="1" xfId="0" applyNumberFormat="1" applyFont="1" applyFill="1" applyBorder="1" applyAlignment="1">
      <alignment horizontal="center" vertical="center"/>
    </xf>
    <xf numFmtId="0" fontId="50" fillId="7" borderId="1" xfId="0" applyFont="1" applyFill="1" applyBorder="1" applyAlignment="1">
      <alignment vertical="center"/>
    </xf>
    <xf numFmtId="0" fontId="50" fillId="7" borderId="11" xfId="0" applyFont="1" applyFill="1" applyBorder="1" applyAlignment="1">
      <alignment vertical="center"/>
    </xf>
    <xf numFmtId="0" fontId="50" fillId="7" borderId="10" xfId="0" applyFont="1" applyFill="1" applyBorder="1" applyAlignment="1">
      <alignment vertical="center"/>
    </xf>
    <xf numFmtId="166" fontId="50" fillId="7" borderId="11" xfId="0" applyNumberFormat="1" applyFont="1" applyFill="1" applyBorder="1" applyAlignment="1">
      <alignment horizontal="center" vertical="center"/>
    </xf>
    <xf numFmtId="0" fontId="50" fillId="7" borderId="99" xfId="0" applyFont="1" applyFill="1" applyBorder="1" applyAlignment="1">
      <alignment vertical="center"/>
    </xf>
    <xf numFmtId="166" fontId="50" fillId="7" borderId="2" xfId="0" applyNumberFormat="1" applyFont="1" applyFill="1" applyBorder="1" applyAlignment="1">
      <alignment horizontal="center" vertical="center"/>
    </xf>
    <xf numFmtId="0" fontId="46" fillId="3" borderId="19" xfId="0" applyFont="1" applyFill="1" applyBorder="1" applyAlignment="1">
      <alignment horizontal="left" vertical="center"/>
    </xf>
    <xf numFmtId="0" fontId="46" fillId="3" borderId="17" xfId="0" applyFont="1" applyFill="1" applyBorder="1" applyAlignment="1">
      <alignment horizontal="left" vertical="center"/>
    </xf>
    <xf numFmtId="0" fontId="46" fillId="3" borderId="18" xfId="0" applyFont="1" applyFill="1" applyBorder="1" applyAlignment="1">
      <alignment horizontal="center" vertical="center"/>
    </xf>
    <xf numFmtId="3" fontId="0" fillId="0" borderId="183" xfId="0" applyNumberFormat="1" applyBorder="1" applyAlignment="1">
      <alignment vertical="center"/>
    </xf>
    <xf numFmtId="3" fontId="0" fillId="0" borderId="136" xfId="0" applyNumberFormat="1" applyBorder="1" applyAlignment="1">
      <alignment vertical="center"/>
    </xf>
    <xf numFmtId="0" fontId="50" fillId="7" borderId="131" xfId="0" applyFont="1" applyFill="1" applyBorder="1" applyAlignment="1">
      <alignment vertical="center"/>
    </xf>
    <xf numFmtId="166" fontId="50" fillId="7" borderId="134" xfId="0" applyNumberFormat="1" applyFont="1" applyFill="1" applyBorder="1" applyAlignment="1">
      <alignment horizontal="center" vertical="center"/>
    </xf>
    <xf numFmtId="0" fontId="50" fillId="7" borderId="134" xfId="0" applyFont="1" applyFill="1" applyBorder="1" applyAlignment="1">
      <alignment vertical="center"/>
    </xf>
    <xf numFmtId="3" fontId="0" fillId="0" borderId="135" xfId="0" applyNumberFormat="1" applyBorder="1" applyAlignment="1">
      <alignment vertical="center"/>
    </xf>
    <xf numFmtId="3" fontId="0" fillId="0" borderId="184" xfId="0" applyNumberFormat="1" applyBorder="1" applyAlignment="1">
      <alignment vertical="center"/>
    </xf>
    <xf numFmtId="3" fontId="0" fillId="0" borderId="137" xfId="0" applyNumberFormat="1" applyBorder="1" applyAlignment="1">
      <alignment vertical="center"/>
    </xf>
    <xf numFmtId="0" fontId="50" fillId="7" borderId="28" xfId="0" applyFont="1" applyFill="1" applyBorder="1" applyAlignment="1">
      <alignment vertical="center"/>
    </xf>
    <xf numFmtId="166" fontId="50" fillId="7" borderId="15" xfId="0" applyNumberFormat="1" applyFont="1" applyFill="1" applyBorder="1" applyAlignment="1">
      <alignment horizontal="center" vertical="center"/>
    </xf>
    <xf numFmtId="0" fontId="50" fillId="7" borderId="15" xfId="0" applyFont="1" applyFill="1" applyBorder="1" applyAlignment="1">
      <alignment vertical="center"/>
    </xf>
    <xf numFmtId="3" fontId="0" fillId="0" borderId="63" xfId="0" applyNumberFormat="1" applyBorder="1" applyAlignment="1">
      <alignment vertical="center"/>
    </xf>
    <xf numFmtId="0" fontId="50" fillId="7" borderId="9" xfId="0" applyFont="1" applyFill="1" applyBorder="1" applyAlignment="1">
      <alignment vertical="center" wrapText="1"/>
    </xf>
    <xf numFmtId="0" fontId="19" fillId="0" borderId="0" xfId="0" applyFont="1" applyAlignment="1">
      <alignment vertical="center"/>
    </xf>
    <xf numFmtId="0" fontId="0" fillId="0" borderId="0" xfId="0" applyAlignment="1">
      <alignment vertical="center"/>
    </xf>
    <xf numFmtId="0" fontId="7" fillId="11" borderId="16" xfId="0" applyFont="1" applyFill="1" applyBorder="1" applyAlignment="1">
      <alignment horizontal="center" vertical="center" wrapText="1"/>
    </xf>
    <xf numFmtId="0" fontId="0" fillId="11" borderId="189" xfId="0" applyFill="1" applyBorder="1" applyAlignment="1">
      <alignment horizontal="center" vertical="center"/>
    </xf>
    <xf numFmtId="0" fontId="0" fillId="11" borderId="105" xfId="0" applyFill="1" applyBorder="1" applyAlignment="1">
      <alignment horizontal="center" vertical="center"/>
    </xf>
    <xf numFmtId="0" fontId="7" fillId="11" borderId="147" xfId="0" applyFont="1" applyFill="1" applyBorder="1" applyAlignment="1">
      <alignment horizontal="center" vertical="center" wrapText="1"/>
    </xf>
    <xf numFmtId="0" fontId="0" fillId="11" borderId="185" xfId="0" applyFill="1" applyBorder="1" applyAlignment="1">
      <alignment horizontal="center" vertical="center"/>
    </xf>
    <xf numFmtId="0" fontId="0" fillId="11" borderId="106" xfId="0" applyFill="1" applyBorder="1" applyAlignment="1">
      <alignment horizontal="center" vertical="center"/>
    </xf>
    <xf numFmtId="0" fontId="0" fillId="11" borderId="185" xfId="0" applyFill="1" applyBorder="1" applyAlignment="1">
      <alignment horizontal="center" vertical="center" wrapText="1"/>
    </xf>
    <xf numFmtId="0" fontId="0" fillId="11" borderId="105" xfId="0" applyFill="1" applyBorder="1" applyAlignment="1">
      <alignment horizontal="center" vertical="center" wrapText="1"/>
    </xf>
    <xf numFmtId="0" fontId="0" fillId="11" borderId="186" xfId="0" applyFill="1" applyBorder="1" applyAlignment="1">
      <alignment horizontal="center" vertical="center"/>
    </xf>
    <xf numFmtId="0" fontId="0" fillId="11" borderId="187" xfId="0" applyFill="1" applyBorder="1" applyAlignment="1">
      <alignment horizontal="center" vertical="center"/>
    </xf>
    <xf numFmtId="0" fontId="0" fillId="11" borderId="188" xfId="0" applyFill="1" applyBorder="1" applyAlignment="1">
      <alignment horizontal="center" vertical="center"/>
    </xf>
    <xf numFmtId="4" fontId="16" fillId="3" borderId="45" xfId="0" applyNumberFormat="1" applyFont="1" applyFill="1" applyBorder="1" applyAlignment="1">
      <alignment horizontal="center" vertical="center" wrapText="1"/>
    </xf>
    <xf numFmtId="4" fontId="16" fillId="3" borderId="43" xfId="0" applyNumberFormat="1" applyFont="1" applyFill="1" applyBorder="1" applyAlignment="1">
      <alignment horizontal="center" vertical="center" wrapText="1"/>
    </xf>
    <xf numFmtId="4" fontId="16" fillId="3" borderId="36" xfId="0" applyNumberFormat="1" applyFont="1" applyFill="1" applyBorder="1" applyAlignment="1">
      <alignment horizontal="center" vertical="center" wrapText="1"/>
    </xf>
    <xf numFmtId="0" fontId="0" fillId="11" borderId="0" xfId="0" quotePrefix="1" applyFill="1" applyAlignment="1">
      <alignment horizontal="center" vertical="center"/>
    </xf>
    <xf numFmtId="0" fontId="16" fillId="11" borderId="0" xfId="0" quotePrefix="1" applyFont="1" applyFill="1" applyAlignment="1">
      <alignment horizontal="center" vertical="center" wrapText="1"/>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0" fontId="8" fillId="11" borderId="1" xfId="0" quotePrefix="1" applyFont="1" applyFill="1" applyBorder="1" applyAlignment="1">
      <alignment vertical="center"/>
    </xf>
    <xf numFmtId="0" fontId="8" fillId="11" borderId="11" xfId="0" applyFont="1" applyFill="1" applyBorder="1" applyAlignment="1">
      <alignment horizontal="left" vertical="top" wrapText="1"/>
    </xf>
    <xf numFmtId="49" fontId="46" fillId="0" borderId="70" xfId="0" applyNumberFormat="1" applyFont="1" applyBorder="1" applyAlignment="1">
      <alignment horizontal="left" vertical="center"/>
    </xf>
    <xf numFmtId="49" fontId="46" fillId="0" borderId="95" xfId="0" applyNumberFormat="1" applyFont="1" applyBorder="1" applyAlignment="1">
      <alignment horizontal="left" vertical="center"/>
    </xf>
    <xf numFmtId="0" fontId="12" fillId="8" borderId="12"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165" fontId="19" fillId="18" borderId="1" xfId="0" applyNumberFormat="1" applyFont="1" applyFill="1" applyBorder="1" applyAlignment="1">
      <alignment horizontal="center" vertical="center" wrapText="1"/>
    </xf>
    <xf numFmtId="0" fontId="71" fillId="18" borderId="1" xfId="0" applyFont="1" applyFill="1" applyBorder="1" applyAlignment="1">
      <alignment horizontal="center" vertical="center" wrapText="1"/>
    </xf>
    <xf numFmtId="0" fontId="7" fillId="0" borderId="9" xfId="0" applyFont="1" applyBorder="1" applyAlignment="1">
      <alignment horizontal="left" vertical="center" wrapText="1"/>
    </xf>
    <xf numFmtId="0" fontId="7" fillId="9" borderId="9" xfId="0" applyFont="1" applyFill="1" applyBorder="1" applyAlignment="1">
      <alignment horizontal="left" vertical="center" wrapText="1"/>
    </xf>
    <xf numFmtId="4" fontId="16" fillId="11" borderId="35" xfId="0" applyNumberFormat="1" applyFont="1" applyFill="1" applyBorder="1" applyAlignment="1">
      <alignment horizontal="center" vertical="center" wrapText="1"/>
    </xf>
    <xf numFmtId="4" fontId="16" fillId="11" borderId="149" xfId="0" applyNumberFormat="1" applyFont="1" applyFill="1" applyBorder="1" applyAlignment="1">
      <alignment horizontal="center" vertical="center" wrapText="1"/>
    </xf>
    <xf numFmtId="4" fontId="16" fillId="11" borderId="148" xfId="0" applyNumberFormat="1" applyFont="1" applyFill="1" applyBorder="1" applyAlignment="1">
      <alignment horizontal="center" vertical="center" wrapText="1"/>
    </xf>
    <xf numFmtId="4" fontId="16" fillId="11" borderId="154" xfId="0" applyNumberFormat="1" applyFont="1" applyFill="1" applyBorder="1" applyAlignment="1">
      <alignment horizontal="center" vertical="center" wrapText="1"/>
    </xf>
    <xf numFmtId="0" fontId="8" fillId="11" borderId="0" xfId="0" applyFont="1" applyFill="1" applyAlignment="1">
      <alignment wrapText="1"/>
    </xf>
    <xf numFmtId="0" fontId="19" fillId="0" borderId="137" xfId="0" applyFont="1" applyBorder="1" applyAlignment="1">
      <alignment horizontal="center" vertical="center" wrapText="1"/>
    </xf>
    <xf numFmtId="0" fontId="19" fillId="0" borderId="136" xfId="0" applyFont="1" applyBorder="1" applyAlignment="1">
      <alignment horizontal="center" vertical="center" wrapText="1"/>
    </xf>
    <xf numFmtId="0" fontId="12" fillId="7" borderId="22" xfId="0" applyFont="1" applyFill="1" applyBorder="1" applyAlignment="1">
      <alignment horizontal="center" vertical="center" wrapText="1"/>
    </xf>
    <xf numFmtId="0" fontId="19" fillId="0" borderId="135" xfId="0" applyFont="1" applyBorder="1" applyAlignment="1">
      <alignment horizontal="center" vertical="center" wrapText="1"/>
    </xf>
    <xf numFmtId="165" fontId="71" fillId="18" borderId="1" xfId="0" applyNumberFormat="1" applyFont="1" applyFill="1" applyBorder="1" applyAlignment="1">
      <alignment horizontal="center" vertical="center" wrapText="1"/>
    </xf>
    <xf numFmtId="0" fontId="71" fillId="18" borderId="136" xfId="0" applyFont="1" applyFill="1" applyBorder="1" applyAlignment="1">
      <alignment horizontal="center" vertical="center" wrapText="1"/>
    </xf>
    <xf numFmtId="0" fontId="19" fillId="18" borderId="136" xfId="0" applyFont="1" applyFill="1" applyBorder="1" applyAlignment="1">
      <alignment horizontal="center" vertical="center" wrapText="1"/>
    </xf>
    <xf numFmtId="165" fontId="19" fillId="18" borderId="4" xfId="0" applyNumberFormat="1" applyFont="1" applyFill="1" applyBorder="1" applyAlignment="1">
      <alignment horizontal="center" vertical="center" wrapText="1"/>
    </xf>
    <xf numFmtId="0" fontId="16" fillId="0" borderId="181" xfId="0" applyFont="1" applyBorder="1" applyAlignment="1">
      <alignment horizontal="center" vertical="center" wrapText="1"/>
    </xf>
    <xf numFmtId="164" fontId="16" fillId="0" borderId="181" xfId="0" applyNumberFormat="1" applyFont="1" applyBorder="1" applyAlignment="1">
      <alignment horizontal="center" vertical="center" wrapText="1"/>
    </xf>
    <xf numFmtId="0" fontId="16" fillId="0" borderId="119" xfId="0" applyFont="1" applyBorder="1" applyAlignment="1">
      <alignment horizontal="center" vertical="center"/>
    </xf>
    <xf numFmtId="0" fontId="16" fillId="0" borderId="181" xfId="0" applyFont="1" applyBorder="1" applyAlignment="1">
      <alignment horizontal="center" vertical="center"/>
    </xf>
    <xf numFmtId="11" fontId="0" fillId="11" borderId="105" xfId="0" applyNumberFormat="1" applyFill="1" applyBorder="1" applyAlignment="1">
      <alignment horizontal="center" vertical="center"/>
    </xf>
    <xf numFmtId="2" fontId="16" fillId="0" borderId="181" xfId="0" applyNumberFormat="1" applyFont="1" applyBorder="1" applyAlignment="1">
      <alignment horizontal="center" vertical="center" wrapText="1"/>
    </xf>
    <xf numFmtId="4" fontId="16" fillId="0" borderId="181" xfId="0" applyNumberFormat="1" applyFont="1" applyBorder="1" applyAlignment="1">
      <alignment horizontal="center" vertical="center" wrapText="1"/>
    </xf>
    <xf numFmtId="4" fontId="16" fillId="0" borderId="146" xfId="0" applyNumberFormat="1" applyFont="1" applyBorder="1" applyAlignment="1">
      <alignment horizontal="center" vertical="center" wrapText="1"/>
    </xf>
    <xf numFmtId="4" fontId="16" fillId="0" borderId="148" xfId="0" applyNumberFormat="1" applyFont="1" applyBorder="1" applyAlignment="1">
      <alignment horizontal="center" vertical="center" wrapText="1"/>
    </xf>
    <xf numFmtId="4" fontId="16" fillId="0" borderId="154" xfId="0" applyNumberFormat="1" applyFont="1" applyBorder="1" applyAlignment="1">
      <alignment horizontal="center" vertical="center" wrapText="1"/>
    </xf>
    <xf numFmtId="0" fontId="0" fillId="3" borderId="20" xfId="0" applyFill="1" applyBorder="1" applyAlignment="1">
      <alignment vertical="center"/>
    </xf>
    <xf numFmtId="0" fontId="0" fillId="11" borderId="190" xfId="0" applyFill="1" applyBorder="1" applyAlignment="1" applyProtection="1">
      <alignment horizontal="center" vertical="center"/>
      <protection locked="0"/>
    </xf>
    <xf numFmtId="0" fontId="0" fillId="11" borderId="189" xfId="0" applyFill="1" applyBorder="1" applyAlignment="1" applyProtection="1">
      <alignment horizontal="center" vertical="center"/>
      <protection locked="0"/>
    </xf>
    <xf numFmtId="0" fontId="0" fillId="11" borderId="191" xfId="0" applyFill="1" applyBorder="1" applyAlignment="1" applyProtection="1">
      <alignment horizontal="center" vertical="center"/>
      <protection locked="0"/>
    </xf>
    <xf numFmtId="0" fontId="0" fillId="11" borderId="185" xfId="0" applyFill="1" applyBorder="1" applyAlignment="1" applyProtection="1">
      <alignment horizontal="center" vertical="center"/>
      <protection locked="0"/>
    </xf>
    <xf numFmtId="0" fontId="0" fillId="11" borderId="105" xfId="0" applyFill="1" applyBorder="1" applyAlignment="1" applyProtection="1">
      <alignment horizontal="center" vertical="center"/>
      <protection locked="0"/>
    </xf>
    <xf numFmtId="0" fontId="0" fillId="11" borderId="106" xfId="0" applyFill="1" applyBorder="1" applyAlignment="1" applyProtection="1">
      <alignment horizontal="center" vertical="center"/>
      <protection locked="0"/>
    </xf>
    <xf numFmtId="0" fontId="0" fillId="11" borderId="186"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11" borderId="188" xfId="0" applyFill="1" applyBorder="1" applyAlignment="1" applyProtection="1">
      <alignment horizontal="center" vertical="center"/>
      <protection locked="0"/>
    </xf>
    <xf numFmtId="0" fontId="75" fillId="11" borderId="0" xfId="0" applyFont="1" applyFill="1" applyAlignment="1">
      <alignment horizontal="right" vertical="center"/>
    </xf>
    <xf numFmtId="178" fontId="50" fillId="12" borderId="3" xfId="0" applyNumberFormat="1" applyFont="1" applyFill="1" applyBorder="1" applyAlignment="1">
      <alignment vertical="center"/>
    </xf>
    <xf numFmtId="0" fontId="46" fillId="11" borderId="111" xfId="0" applyFont="1" applyFill="1" applyBorder="1" applyAlignment="1">
      <alignment vertical="center" wrapText="1"/>
    </xf>
    <xf numFmtId="178" fontId="50" fillId="11" borderId="68" xfId="0" applyNumberFormat="1" applyFont="1" applyFill="1" applyBorder="1" applyAlignment="1">
      <alignment vertical="center"/>
    </xf>
    <xf numFmtId="178" fontId="50" fillId="11" borderId="0" xfId="0" applyNumberFormat="1" applyFont="1" applyFill="1" applyAlignment="1">
      <alignment vertical="center"/>
    </xf>
    <xf numFmtId="178" fontId="50" fillId="12" borderId="20" xfId="0" applyNumberFormat="1" applyFont="1" applyFill="1" applyBorder="1" applyAlignment="1">
      <alignment vertical="center"/>
    </xf>
    <xf numFmtId="178" fontId="39" fillId="11" borderId="0" xfId="0" applyNumberFormat="1" applyFont="1" applyFill="1" applyAlignment="1">
      <alignment vertical="center"/>
    </xf>
    <xf numFmtId="178" fontId="39" fillId="11" borderId="0" xfId="0" applyNumberFormat="1" applyFont="1" applyFill="1" applyAlignment="1">
      <alignment vertical="center" wrapText="1"/>
    </xf>
    <xf numFmtId="178" fontId="76" fillId="11" borderId="0" xfId="0" applyNumberFormat="1" applyFont="1" applyFill="1" applyAlignment="1">
      <alignment horizontal="center" vertical="center"/>
    </xf>
    <xf numFmtId="178" fontId="77" fillId="11" borderId="0" xfId="0" applyNumberFormat="1" applyFont="1" applyFill="1" applyAlignment="1">
      <alignment horizontal="center" vertical="center"/>
    </xf>
    <xf numFmtId="0" fontId="16" fillId="9" borderId="181" xfId="0" applyFont="1" applyFill="1" applyBorder="1" applyAlignment="1" applyProtection="1">
      <alignment horizontal="center" vertical="center"/>
      <protection locked="0"/>
    </xf>
    <xf numFmtId="0" fontId="0" fillId="11" borderId="0" xfId="0" applyFill="1" applyAlignment="1">
      <alignment horizontal="center" vertical="center" wrapText="1"/>
    </xf>
    <xf numFmtId="0" fontId="16" fillId="0" borderId="117" xfId="0" applyFont="1" applyBorder="1" applyAlignment="1">
      <alignment horizontal="center" vertical="center" wrapText="1"/>
    </xf>
    <xf numFmtId="164" fontId="16" fillId="0" borderId="117" xfId="0" applyNumberFormat="1" applyFont="1" applyBorder="1" applyAlignment="1">
      <alignment horizontal="center" vertical="center" wrapText="1"/>
    </xf>
    <xf numFmtId="0" fontId="16" fillId="0" borderId="117" xfId="0" applyFont="1" applyBorder="1" applyAlignment="1">
      <alignment horizontal="center" vertical="center"/>
    </xf>
    <xf numFmtId="11" fontId="16" fillId="11" borderId="43" xfId="0" applyNumberFormat="1" applyFont="1" applyFill="1" applyBorder="1" applyAlignment="1">
      <alignment horizontal="center" vertical="center" wrapText="1"/>
    </xf>
    <xf numFmtId="11" fontId="16" fillId="3" borderId="43" xfId="0" applyNumberFormat="1" applyFont="1" applyFill="1" applyBorder="1" applyAlignment="1">
      <alignment horizontal="center" vertical="center" wrapText="1"/>
    </xf>
    <xf numFmtId="4" fontId="16" fillId="0" borderId="118" xfId="0" quotePrefix="1" applyNumberFormat="1" applyFont="1" applyBorder="1" applyAlignment="1">
      <alignment horizontal="center" vertical="center" wrapText="1"/>
    </xf>
    <xf numFmtId="182" fontId="0" fillId="11" borderId="0" xfId="0" applyNumberFormat="1" applyFill="1" applyAlignment="1">
      <alignment horizontal="center" vertical="center"/>
    </xf>
    <xf numFmtId="2" fontId="16" fillId="0" borderId="60" xfId="0" applyNumberFormat="1" applyFont="1" applyBorder="1" applyAlignment="1">
      <alignment horizontal="center" vertical="center" wrapText="1"/>
    </xf>
    <xf numFmtId="164" fontId="16" fillId="0" borderId="60" xfId="0" applyNumberFormat="1" applyFont="1" applyBorder="1" applyAlignment="1">
      <alignment horizontal="center" vertical="center" wrapText="1"/>
    </xf>
    <xf numFmtId="4" fontId="16" fillId="0" borderId="60" xfId="0" applyNumberFormat="1"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4" fontId="16" fillId="0" borderId="34" xfId="0" applyNumberFormat="1" applyFont="1" applyBorder="1" applyAlignment="1" applyProtection="1">
      <alignment horizontal="center" vertical="center" wrapText="1"/>
      <protection locked="0"/>
    </xf>
    <xf numFmtId="4" fontId="16" fillId="0" borderId="15" xfId="0" applyNumberFormat="1" applyFont="1" applyBorder="1" applyAlignment="1" applyProtection="1">
      <alignment horizontal="center" vertical="center" wrapText="1"/>
      <protection locked="0"/>
    </xf>
    <xf numFmtId="4" fontId="16" fillId="0" borderId="63" xfId="0" applyNumberFormat="1" applyFont="1" applyBorder="1" applyAlignment="1" applyProtection="1">
      <alignment horizontal="center" vertical="center" wrapText="1"/>
      <protection locked="0"/>
    </xf>
    <xf numFmtId="0" fontId="16" fillId="11" borderId="27" xfId="0" applyFont="1" applyFill="1" applyBorder="1" applyAlignment="1">
      <alignment horizontal="right" vertical="center" wrapText="1"/>
    </xf>
    <xf numFmtId="0" fontId="16" fillId="11" borderId="27" xfId="0" applyFont="1" applyFill="1" applyBorder="1" applyAlignment="1">
      <alignment horizontal="right" vertical="center"/>
    </xf>
    <xf numFmtId="0" fontId="16" fillId="11" borderId="43" xfId="0" applyFont="1" applyFill="1" applyBorder="1" applyAlignment="1">
      <alignment horizontal="left" vertical="center"/>
    </xf>
    <xf numFmtId="0" fontId="16" fillId="11" borderId="0" xfId="0" applyFont="1" applyFill="1" applyAlignment="1">
      <alignment horizontal="right" vertical="center"/>
    </xf>
    <xf numFmtId="0" fontId="0" fillId="11" borderId="0" xfId="0" applyFill="1" applyAlignment="1">
      <alignment vertical="center" wrapText="1"/>
    </xf>
    <xf numFmtId="0" fontId="7" fillId="11" borderId="59" xfId="0" applyFont="1" applyFill="1" applyBorder="1" applyAlignment="1">
      <alignment horizontal="center" vertical="center" wrapText="1"/>
    </xf>
    <xf numFmtId="0" fontId="16" fillId="11" borderId="0" xfId="0" applyFont="1" applyFill="1" applyAlignment="1">
      <alignment vertical="center" wrapText="1"/>
    </xf>
    <xf numFmtId="0" fontId="16" fillId="11" borderId="26" xfId="0" applyFont="1" applyFill="1" applyBorder="1" applyAlignment="1">
      <alignment horizontal="left" vertical="center" wrapText="1"/>
    </xf>
    <xf numFmtId="0" fontId="16" fillId="11" borderId="26" xfId="0" applyFont="1" applyFill="1" applyBorder="1" applyAlignment="1">
      <alignment horizontal="center" vertical="center" wrapText="1"/>
    </xf>
    <xf numFmtId="0" fontId="16" fillId="11" borderId="0" xfId="0" applyFont="1" applyFill="1" applyAlignment="1">
      <alignment horizontal="center" vertical="center" wrapText="1"/>
    </xf>
    <xf numFmtId="0" fontId="7" fillId="11" borderId="19" xfId="0" applyFont="1" applyFill="1" applyBorder="1" applyAlignment="1">
      <alignment horizontal="center" vertical="center" wrapText="1"/>
    </xf>
    <xf numFmtId="0" fontId="0" fillId="11" borderId="66" xfId="0" applyFill="1" applyBorder="1" applyAlignment="1">
      <alignment vertical="center"/>
    </xf>
    <xf numFmtId="0" fontId="0" fillId="11" borderId="66" xfId="0" applyFill="1" applyBorder="1" applyAlignment="1" applyProtection="1">
      <alignment vertical="center"/>
      <protection locked="0"/>
    </xf>
    <xf numFmtId="0" fontId="0" fillId="11" borderId="66" xfId="0" applyFill="1" applyBorder="1" applyAlignment="1">
      <alignment horizontal="center" vertical="center"/>
    </xf>
    <xf numFmtId="0" fontId="0" fillId="11" borderId="66" xfId="0" applyFill="1" applyBorder="1" applyAlignment="1">
      <alignment vertical="center" wrapText="1"/>
    </xf>
    <xf numFmtId="0" fontId="0" fillId="11" borderId="0" xfId="0" applyFill="1" applyAlignment="1">
      <alignment horizontal="left" vertical="center"/>
    </xf>
    <xf numFmtId="0" fontId="16" fillId="11" borderId="193" xfId="0" applyFont="1" applyFill="1" applyBorder="1" applyAlignment="1">
      <alignment horizontal="left" vertical="center"/>
    </xf>
    <xf numFmtId="0" fontId="16" fillId="11" borderId="66" xfId="0" applyFont="1" applyFill="1" applyBorder="1" applyAlignment="1">
      <alignment horizontal="left" vertical="center"/>
    </xf>
    <xf numFmtId="0" fontId="0" fillId="11" borderId="85" xfId="0" applyFill="1" applyBorder="1" applyAlignment="1">
      <alignment vertical="center"/>
    </xf>
    <xf numFmtId="0" fontId="0" fillId="11" borderId="85" xfId="0" applyFill="1" applyBorder="1" applyAlignment="1">
      <alignment horizontal="center" vertical="center"/>
    </xf>
    <xf numFmtId="0" fontId="0" fillId="11" borderId="85" xfId="0" applyFill="1" applyBorder="1" applyAlignment="1">
      <alignment vertical="center" wrapText="1"/>
    </xf>
    <xf numFmtId="0" fontId="16" fillId="11" borderId="196" xfId="0" applyFont="1" applyFill="1" applyBorder="1" applyAlignment="1">
      <alignment horizontal="left" vertical="center"/>
    </xf>
    <xf numFmtId="0" fontId="0" fillId="11" borderId="193" xfId="0" applyFill="1" applyBorder="1" applyAlignment="1">
      <alignment vertical="center"/>
    </xf>
    <xf numFmtId="0" fontId="0" fillId="11" borderId="85" xfId="0" applyFill="1" applyBorder="1" applyAlignment="1">
      <alignment horizontal="left" vertical="center"/>
    </xf>
    <xf numFmtId="181" fontId="16" fillId="19" borderId="0" xfId="0" applyNumberFormat="1" applyFont="1" applyFill="1" applyAlignment="1">
      <alignment vertical="center"/>
    </xf>
    <xf numFmtId="0" fontId="16" fillId="9" borderId="181" xfId="0" applyFont="1" applyFill="1" applyBorder="1" applyAlignment="1">
      <alignment horizontal="left" vertical="center" wrapText="1"/>
    </xf>
    <xf numFmtId="0" fontId="0" fillId="11" borderId="67" xfId="0" applyFill="1" applyBorder="1" applyAlignment="1">
      <alignment vertical="center" wrapText="1"/>
    </xf>
    <xf numFmtId="0" fontId="16" fillId="11" borderId="67" xfId="0" applyFont="1" applyFill="1" applyBorder="1" applyAlignment="1">
      <alignment horizontal="center" vertical="center" wrapText="1"/>
    </xf>
    <xf numFmtId="0" fontId="16" fillId="11" borderId="67" xfId="0" applyFont="1" applyFill="1" applyBorder="1" applyAlignment="1">
      <alignment vertical="center" wrapText="1"/>
    </xf>
    <xf numFmtId="181" fontId="16" fillId="19" borderId="66" xfId="0" applyNumberFormat="1" applyFont="1" applyFill="1" applyBorder="1" applyAlignment="1">
      <alignment vertical="center"/>
    </xf>
    <xf numFmtId="0" fontId="16" fillId="9" borderId="140" xfId="0" applyFont="1" applyFill="1" applyBorder="1" applyAlignment="1">
      <alignment horizontal="center" vertical="center" wrapText="1"/>
    </xf>
    <xf numFmtId="0" fontId="16" fillId="9" borderId="197" xfId="0" applyFont="1" applyFill="1" applyBorder="1" applyAlignment="1" applyProtection="1">
      <alignment horizontal="center" vertical="center"/>
      <protection locked="0"/>
    </xf>
    <xf numFmtId="0" fontId="16" fillId="11" borderId="196" xfId="0" applyFont="1" applyFill="1" applyBorder="1" applyAlignment="1">
      <alignment horizontal="center" vertical="center"/>
    </xf>
    <xf numFmtId="0" fontId="16" fillId="11" borderId="85" xfId="0" applyFont="1" applyFill="1" applyBorder="1" applyAlignment="1">
      <alignment horizontal="center" vertical="center"/>
    </xf>
    <xf numFmtId="0" fontId="16" fillId="11" borderId="193" xfId="0" applyFont="1" applyFill="1" applyBorder="1" applyAlignment="1">
      <alignment horizontal="center" vertical="center"/>
    </xf>
    <xf numFmtId="0" fontId="16" fillId="19" borderId="66" xfId="0" applyFont="1" applyFill="1" applyBorder="1" applyAlignment="1">
      <alignment vertical="center"/>
    </xf>
    <xf numFmtId="0" fontId="0" fillId="19" borderId="66" xfId="0" applyFill="1" applyBorder="1" applyAlignment="1">
      <alignment vertical="center"/>
    </xf>
    <xf numFmtId="0" fontId="16" fillId="11" borderId="56" xfId="0" applyFont="1" applyFill="1" applyBorder="1" applyAlignment="1">
      <alignment horizontal="left" vertical="center"/>
    </xf>
    <xf numFmtId="0" fontId="0" fillId="11" borderId="56" xfId="0" applyFill="1" applyBorder="1" applyAlignment="1">
      <alignment vertical="center"/>
    </xf>
    <xf numFmtId="0" fontId="0" fillId="11" borderId="56" xfId="0" applyFill="1" applyBorder="1" applyAlignment="1" applyProtection="1">
      <alignment vertical="center"/>
      <protection locked="0"/>
    </xf>
    <xf numFmtId="0" fontId="0" fillId="11" borderId="56" xfId="0" applyFill="1" applyBorder="1" applyAlignment="1">
      <alignment horizontal="center" vertical="center"/>
    </xf>
    <xf numFmtId="0" fontId="0" fillId="11" borderId="56" xfId="0" applyFill="1" applyBorder="1" applyAlignment="1">
      <alignment vertical="center" wrapText="1"/>
    </xf>
    <xf numFmtId="0" fontId="0" fillId="11" borderId="202" xfId="0" applyFill="1" applyBorder="1" applyAlignment="1">
      <alignment vertical="center"/>
    </xf>
    <xf numFmtId="0" fontId="16" fillId="11" borderId="202" xfId="0" applyFont="1" applyFill="1" applyBorder="1" applyAlignment="1">
      <alignment horizontal="left" vertical="center"/>
    </xf>
    <xf numFmtId="0" fontId="16" fillId="11" borderId="56" xfId="0" applyFont="1" applyFill="1" applyBorder="1" applyAlignment="1">
      <alignment vertical="center"/>
    </xf>
    <xf numFmtId="0" fontId="0" fillId="3" borderId="56" xfId="0" applyFill="1" applyBorder="1" applyAlignment="1">
      <alignment vertical="center"/>
    </xf>
    <xf numFmtId="0" fontId="0" fillId="11" borderId="0" xfId="0" quotePrefix="1" applyFill="1" applyAlignment="1">
      <alignment vertical="center"/>
    </xf>
    <xf numFmtId="0" fontId="0" fillId="3" borderId="56" xfId="0" applyFill="1" applyBorder="1" applyAlignment="1">
      <alignment horizontal="center" vertical="center"/>
    </xf>
    <xf numFmtId="0" fontId="16" fillId="19" borderId="66" xfId="0" applyFont="1" applyFill="1" applyBorder="1" applyAlignment="1">
      <alignment horizontal="center" vertical="center"/>
    </xf>
    <xf numFmtId="0" fontId="0" fillId="19" borderId="66" xfId="0" applyFill="1" applyBorder="1" applyAlignment="1">
      <alignment horizontal="center" vertical="center"/>
    </xf>
    <xf numFmtId="0" fontId="16" fillId="19" borderId="1" xfId="0" applyFont="1" applyFill="1" applyBorder="1" applyAlignment="1">
      <alignment horizontal="center" vertical="center"/>
    </xf>
    <xf numFmtId="0" fontId="16" fillId="9" borderId="1" xfId="0" applyFont="1" applyFill="1" applyBorder="1" applyAlignment="1">
      <alignment horizontal="center" vertical="center"/>
    </xf>
    <xf numFmtId="0" fontId="0" fillId="11" borderId="67" xfId="0" applyFill="1" applyBorder="1" applyAlignment="1">
      <alignment horizontal="center" vertical="center" wrapText="1"/>
    </xf>
    <xf numFmtId="0" fontId="16" fillId="19" borderId="207" xfId="0" applyFont="1" applyFill="1" applyBorder="1" applyAlignment="1">
      <alignment horizontal="center" vertical="center"/>
    </xf>
    <xf numFmtId="0" fontId="16" fillId="9" borderId="207" xfId="0" applyFont="1" applyFill="1" applyBorder="1" applyAlignment="1">
      <alignment horizontal="center" vertical="center"/>
    </xf>
    <xf numFmtId="0" fontId="16" fillId="19" borderId="134" xfId="0" applyFont="1" applyFill="1" applyBorder="1" applyAlignment="1">
      <alignment horizontal="center" vertical="center"/>
    </xf>
    <xf numFmtId="0" fontId="16" fillId="9" borderId="134" xfId="0" applyFont="1" applyFill="1" applyBorder="1" applyAlignment="1">
      <alignment horizontal="center" vertical="center"/>
    </xf>
    <xf numFmtId="0" fontId="0" fillId="11" borderId="56" xfId="0" applyFill="1" applyBorder="1" applyAlignment="1">
      <alignment horizontal="left" vertical="center"/>
    </xf>
    <xf numFmtId="0" fontId="0" fillId="11" borderId="26" xfId="0" applyFill="1" applyBorder="1" applyAlignment="1">
      <alignment horizontal="left" vertical="center"/>
    </xf>
    <xf numFmtId="0" fontId="0" fillId="11" borderId="27" xfId="0" applyFill="1" applyBorder="1" applyAlignment="1">
      <alignment horizontal="center" vertical="center"/>
    </xf>
    <xf numFmtId="0" fontId="0" fillId="11" borderId="28" xfId="0" applyFill="1" applyBorder="1" applyAlignment="1">
      <alignment horizontal="left" vertical="center"/>
    </xf>
    <xf numFmtId="0" fontId="0" fillId="11" borderId="29" xfId="0" applyFill="1" applyBorder="1" applyAlignment="1">
      <alignment horizontal="center" vertical="center"/>
    </xf>
    <xf numFmtId="0" fontId="16" fillId="19" borderId="87" xfId="0" applyFont="1" applyFill="1" applyBorder="1" applyAlignment="1">
      <alignment horizontal="center" vertical="center"/>
    </xf>
    <xf numFmtId="0" fontId="16" fillId="19" borderId="99" xfId="0" applyFont="1" applyFill="1" applyBorder="1" applyAlignment="1">
      <alignment horizontal="left" vertical="center"/>
    </xf>
    <xf numFmtId="0" fontId="0" fillId="3" borderId="210" xfId="0" applyFill="1" applyBorder="1" applyAlignment="1">
      <alignment vertical="center"/>
    </xf>
    <xf numFmtId="0" fontId="16" fillId="19" borderId="211" xfId="0" applyFont="1" applyFill="1" applyBorder="1" applyAlignment="1">
      <alignment horizontal="left" vertical="center"/>
    </xf>
    <xf numFmtId="0" fontId="16" fillId="19" borderId="212" xfId="0" applyFont="1" applyFill="1" applyBorder="1" applyAlignment="1">
      <alignment horizontal="center" vertical="center"/>
    </xf>
    <xf numFmtId="0" fontId="0" fillId="11" borderId="10" xfId="0" applyFill="1" applyBorder="1" applyAlignment="1">
      <alignment horizontal="left" vertical="center"/>
    </xf>
    <xf numFmtId="0" fontId="0" fillId="11" borderId="98" xfId="0" applyFill="1" applyBorder="1" applyAlignment="1">
      <alignment horizontal="center" vertical="center"/>
    </xf>
    <xf numFmtId="0" fontId="0" fillId="11" borderId="26" xfId="0" applyFill="1" applyBorder="1" applyAlignment="1">
      <alignment vertical="center"/>
    </xf>
    <xf numFmtId="0" fontId="0" fillId="19" borderId="211" xfId="0" applyFill="1" applyBorder="1" applyAlignment="1">
      <alignment horizontal="left" vertical="center"/>
    </xf>
    <xf numFmtId="0" fontId="0" fillId="19" borderId="212" xfId="0" applyFill="1" applyBorder="1" applyAlignment="1">
      <alignment horizontal="center" vertical="center"/>
    </xf>
    <xf numFmtId="0" fontId="0" fillId="11" borderId="0" xfId="0" applyFill="1" applyAlignment="1" applyProtection="1">
      <alignment vertical="center" wrapText="1"/>
      <protection locked="0"/>
    </xf>
    <xf numFmtId="49" fontId="16" fillId="9" borderId="200" xfId="0" applyNumberFormat="1" applyFont="1" applyFill="1" applyBorder="1" applyAlignment="1" applyProtection="1">
      <alignment horizontal="center" vertical="center" wrapText="1"/>
      <protection locked="0"/>
    </xf>
    <xf numFmtId="0" fontId="16" fillId="9" borderId="148" xfId="0" applyFont="1" applyFill="1" applyBorder="1" applyAlignment="1" applyProtection="1">
      <alignment horizontal="center" vertical="center" wrapText="1"/>
      <protection locked="0"/>
    </xf>
    <xf numFmtId="4" fontId="16" fillId="9" borderId="148" xfId="0" applyNumberFormat="1" applyFont="1" applyFill="1" applyBorder="1" applyAlignment="1" applyProtection="1">
      <alignment horizontal="center" vertical="center" wrapText="1"/>
      <protection locked="0"/>
    </xf>
    <xf numFmtId="0" fontId="16" fillId="9" borderId="43" xfId="0" applyFont="1" applyFill="1" applyBorder="1" applyAlignment="1" applyProtection="1">
      <alignment horizontal="center" vertical="center" wrapText="1"/>
      <protection locked="0"/>
    </xf>
    <xf numFmtId="0" fontId="16" fillId="9" borderId="15" xfId="0" applyFont="1" applyFill="1" applyBorder="1" applyAlignment="1" applyProtection="1">
      <alignment horizontal="center" vertical="center" wrapText="1"/>
      <protection locked="0"/>
    </xf>
    <xf numFmtId="0" fontId="16" fillId="9" borderId="201" xfId="0" applyFont="1" applyFill="1" applyBorder="1" applyAlignment="1" applyProtection="1">
      <alignment horizontal="center" vertical="center" wrapText="1"/>
      <protection locked="0"/>
    </xf>
    <xf numFmtId="0" fontId="16" fillId="9" borderId="200" xfId="0" applyFont="1" applyFill="1" applyBorder="1" applyAlignment="1" applyProtection="1">
      <alignment horizontal="center" vertical="center" wrapText="1"/>
      <protection locked="0"/>
    </xf>
    <xf numFmtId="10" fontId="16" fillId="9" borderId="148" xfId="0" applyNumberFormat="1" applyFont="1" applyFill="1" applyBorder="1" applyAlignment="1" applyProtection="1">
      <alignment horizontal="center" vertical="center" wrapText="1"/>
      <protection locked="0"/>
    </xf>
    <xf numFmtId="0" fontId="16" fillId="9" borderId="47" xfId="0" applyFont="1" applyFill="1" applyBorder="1" applyAlignment="1" applyProtection="1">
      <alignment horizontal="center" vertical="center" wrapText="1"/>
      <protection locked="0"/>
    </xf>
    <xf numFmtId="49" fontId="16" fillId="9" borderId="148" xfId="0" applyNumberFormat="1" applyFont="1" applyFill="1" applyBorder="1" applyAlignment="1" applyProtection="1">
      <alignment horizontal="center" vertical="center" wrapText="1"/>
      <protection locked="0"/>
    </xf>
    <xf numFmtId="4" fontId="16" fillId="9" borderId="15" xfId="0" applyNumberFormat="1" applyFont="1" applyFill="1" applyBorder="1" applyAlignment="1" applyProtection="1">
      <alignment horizontal="center" vertical="center" wrapText="1"/>
      <protection locked="0"/>
    </xf>
    <xf numFmtId="4" fontId="16" fillId="9" borderId="201" xfId="0" applyNumberFormat="1" applyFont="1" applyFill="1" applyBorder="1" applyAlignment="1" applyProtection="1">
      <alignment horizontal="center" vertical="center" wrapText="1"/>
      <protection locked="0"/>
    </xf>
    <xf numFmtId="11" fontId="16" fillId="11" borderId="105" xfId="0" applyNumberFormat="1" applyFont="1" applyFill="1" applyBorder="1" applyAlignment="1">
      <alignment horizontal="center" vertical="center"/>
    </xf>
    <xf numFmtId="0" fontId="16" fillId="11" borderId="105" xfId="0" applyFont="1" applyFill="1" applyBorder="1" applyAlignment="1">
      <alignment horizontal="center" vertical="center"/>
    </xf>
    <xf numFmtId="175" fontId="62" fillId="3" borderId="56" xfId="0" applyNumberFormat="1" applyFont="1" applyFill="1" applyBorder="1" applyAlignment="1">
      <alignment horizontal="left" vertical="center"/>
    </xf>
    <xf numFmtId="0" fontId="79" fillId="11" borderId="193" xfId="0" applyFont="1" applyFill="1" applyBorder="1" applyAlignment="1">
      <alignment horizontal="center" vertical="center"/>
    </xf>
    <xf numFmtId="0" fontId="79" fillId="11" borderId="0" xfId="0" applyFont="1" applyFill="1" applyAlignment="1">
      <alignment horizontal="center" vertical="center"/>
    </xf>
    <xf numFmtId="182" fontId="0" fillId="11" borderId="189" xfId="0" applyNumberFormat="1" applyFill="1" applyBorder="1" applyAlignment="1">
      <alignment horizontal="center" vertical="center"/>
    </xf>
    <xf numFmtId="182" fontId="0" fillId="11" borderId="105" xfId="0" applyNumberFormat="1" applyFill="1" applyBorder="1" applyAlignment="1">
      <alignment horizontal="center" vertical="center"/>
    </xf>
    <xf numFmtId="182" fontId="0" fillId="8" borderId="105" xfId="0" applyNumberFormat="1" applyFill="1" applyBorder="1" applyAlignment="1">
      <alignment horizontal="center" vertical="center"/>
    </xf>
    <xf numFmtId="182" fontId="0" fillId="20" borderId="105" xfId="0" applyNumberFormat="1" applyFill="1" applyBorder="1" applyAlignment="1">
      <alignment horizontal="center" vertical="center"/>
    </xf>
    <xf numFmtId="0" fontId="0" fillId="11" borderId="191" xfId="0" applyFill="1" applyBorder="1" applyAlignment="1">
      <alignment horizontal="center" vertical="center"/>
    </xf>
    <xf numFmtId="0" fontId="0" fillId="11" borderId="190" xfId="0" applyFill="1" applyBorder="1" applyAlignment="1">
      <alignment horizontal="center" vertical="center" wrapText="1"/>
    </xf>
    <xf numFmtId="0" fontId="0" fillId="11" borderId="189" xfId="0" applyFill="1" applyBorder="1" applyAlignment="1">
      <alignment horizontal="center" vertical="center" wrapText="1"/>
    </xf>
    <xf numFmtId="0" fontId="0" fillId="11" borderId="186" xfId="0" applyFill="1" applyBorder="1" applyAlignment="1">
      <alignment horizontal="center" vertical="center" wrapText="1"/>
    </xf>
    <xf numFmtId="0" fontId="0" fillId="11" borderId="187" xfId="0" applyFill="1" applyBorder="1" applyAlignment="1">
      <alignment horizontal="center" vertical="center" wrapText="1"/>
    </xf>
    <xf numFmtId="0" fontId="30" fillId="11" borderId="0" xfId="0" applyFont="1" applyFill="1" applyAlignment="1">
      <alignment horizontal="center"/>
    </xf>
    <xf numFmtId="4" fontId="16" fillId="0" borderId="181" xfId="0" applyNumberFormat="1" applyFont="1" applyBorder="1" applyAlignment="1" applyProtection="1">
      <alignment horizontal="center" vertical="center" wrapText="1"/>
      <protection locked="0"/>
    </xf>
    <xf numFmtId="49" fontId="16" fillId="0" borderId="181" xfId="0" applyNumberFormat="1" applyFont="1" applyBorder="1" applyAlignment="1" applyProtection="1">
      <alignment horizontal="center" vertical="center" wrapText="1"/>
      <protection locked="0"/>
    </xf>
    <xf numFmtId="0" fontId="7" fillId="11" borderId="60" xfId="0" applyFont="1" applyFill="1" applyBorder="1" applyAlignment="1">
      <alignment horizontal="center" vertical="center" wrapText="1"/>
    </xf>
    <xf numFmtId="0" fontId="7" fillId="11" borderId="28"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7" fillId="11" borderId="64" xfId="0" applyFont="1" applyFill="1" applyBorder="1" applyAlignment="1">
      <alignment horizontal="center" vertical="center" wrapText="1"/>
    </xf>
    <xf numFmtId="0" fontId="7" fillId="11" borderId="15" xfId="0" applyFont="1" applyFill="1" applyBorder="1" applyAlignment="1">
      <alignment horizontal="center" vertical="center" wrapText="1"/>
    </xf>
    <xf numFmtId="0" fontId="49" fillId="11" borderId="15" xfId="5" applyFont="1" applyFill="1" applyBorder="1" applyAlignment="1" applyProtection="1">
      <alignment horizontal="center" vertical="center" wrapText="1"/>
    </xf>
    <xf numFmtId="0" fontId="7" fillId="11" borderId="63" xfId="0" applyFont="1" applyFill="1" applyBorder="1" applyAlignment="1">
      <alignment horizontal="center" vertical="center" wrapText="1"/>
    </xf>
    <xf numFmtId="0" fontId="16" fillId="11" borderId="5" xfId="0" applyFont="1" applyFill="1" applyBorder="1" applyAlignment="1">
      <alignment horizontal="center" vertical="center" wrapText="1"/>
    </xf>
    <xf numFmtId="165" fontId="16" fillId="11" borderId="105" xfId="0" applyNumberFormat="1" applyFont="1" applyFill="1" applyBorder="1" applyAlignment="1">
      <alignment horizontal="center" vertical="center"/>
    </xf>
    <xf numFmtId="4" fontId="16" fillId="0" borderId="45" xfId="0" quotePrefix="1" applyNumberFormat="1" applyFont="1" applyBorder="1" applyAlignment="1">
      <alignment horizontal="center" vertical="center" wrapText="1"/>
    </xf>
    <xf numFmtId="4" fontId="16" fillId="21" borderId="118" xfId="0" applyNumberFormat="1" applyFont="1" applyFill="1" applyBorder="1" applyAlignment="1">
      <alignment horizontal="center" vertical="center" wrapText="1"/>
    </xf>
    <xf numFmtId="49" fontId="16" fillId="21" borderId="118" xfId="0" applyNumberFormat="1" applyFont="1" applyFill="1" applyBorder="1" applyAlignment="1">
      <alignment horizontal="center" vertical="center" wrapText="1"/>
    </xf>
    <xf numFmtId="4" fontId="79" fillId="11" borderId="0" xfId="0" applyNumberFormat="1" applyFont="1" applyFill="1" applyAlignment="1" applyProtection="1">
      <alignment horizontal="center" vertical="center"/>
      <protection locked="0"/>
    </xf>
    <xf numFmtId="4" fontId="16" fillId="11" borderId="0" xfId="0" applyNumberFormat="1" applyFont="1" applyFill="1" applyAlignment="1" applyProtection="1">
      <alignment horizontal="center" vertical="center"/>
      <protection locked="0"/>
    </xf>
    <xf numFmtId="0" fontId="7" fillId="19" borderId="59" xfId="0" applyFont="1" applyFill="1" applyBorder="1" applyAlignment="1">
      <alignment horizontal="center" vertical="center" wrapText="1"/>
    </xf>
    <xf numFmtId="0" fontId="7" fillId="19" borderId="25" xfId="0" applyFont="1" applyFill="1" applyBorder="1" applyAlignment="1">
      <alignment horizontal="center" vertical="center" wrapText="1"/>
    </xf>
    <xf numFmtId="167" fontId="20" fillId="19" borderId="12" xfId="5" applyNumberFormat="1" applyFont="1" applyFill="1" applyBorder="1" applyAlignment="1" applyProtection="1">
      <alignment horizontal="center" vertical="center" wrapText="1"/>
    </xf>
    <xf numFmtId="167" fontId="20" fillId="19" borderId="12" xfId="0" applyNumberFormat="1" applyFont="1" applyFill="1" applyBorder="1" applyAlignment="1">
      <alignment horizontal="center" vertical="center" wrapText="1"/>
    </xf>
    <xf numFmtId="4" fontId="20" fillId="19" borderId="12" xfId="0" applyNumberFormat="1" applyFont="1" applyFill="1" applyBorder="1" applyAlignment="1">
      <alignment horizontal="center" vertical="center" wrapText="1"/>
    </xf>
    <xf numFmtId="167" fontId="1" fillId="19" borderId="15" xfId="0" applyNumberFormat="1" applyFont="1" applyFill="1" applyBorder="1" applyAlignment="1">
      <alignment horizontal="center" vertical="center" wrapText="1"/>
    </xf>
    <xf numFmtId="4" fontId="8" fillId="19" borderId="15" xfId="0" applyNumberFormat="1" applyFont="1" applyFill="1" applyBorder="1" applyAlignment="1">
      <alignment horizontal="center" vertical="center" wrapText="1"/>
    </xf>
    <xf numFmtId="4" fontId="1" fillId="19" borderId="64" xfId="0" applyNumberFormat="1" applyFont="1" applyFill="1" applyBorder="1" applyAlignment="1">
      <alignment horizontal="center" vertical="center" wrapText="1"/>
    </xf>
    <xf numFmtId="4" fontId="1" fillId="19" borderId="15" xfId="0" applyNumberFormat="1" applyFont="1" applyFill="1" applyBorder="1" applyAlignment="1">
      <alignment horizontal="center" vertical="center" wrapText="1"/>
    </xf>
    <xf numFmtId="0" fontId="7" fillId="19" borderId="5" xfId="0" applyFont="1" applyFill="1" applyBorder="1" applyAlignment="1">
      <alignment vertical="center" wrapText="1"/>
    </xf>
    <xf numFmtId="0" fontId="7" fillId="19" borderId="22" xfId="0" applyFont="1" applyFill="1" applyBorder="1" applyAlignment="1">
      <alignment vertical="center" wrapText="1"/>
    </xf>
    <xf numFmtId="0" fontId="9" fillId="19" borderId="5" xfId="0" applyFont="1" applyFill="1" applyBorder="1" applyAlignment="1">
      <alignment horizontal="center" vertical="center" wrapText="1"/>
    </xf>
    <xf numFmtId="0" fontId="9" fillId="19" borderId="22" xfId="0" applyFont="1" applyFill="1" applyBorder="1" applyAlignment="1">
      <alignment horizontal="center" vertical="center" wrapText="1"/>
    </xf>
    <xf numFmtId="0" fontId="7" fillId="19" borderId="17" xfId="0" applyFont="1" applyFill="1" applyBorder="1" applyAlignment="1">
      <alignment horizontal="center" vertical="center" wrapText="1"/>
    </xf>
    <xf numFmtId="2" fontId="7" fillId="19" borderId="5" xfId="0" applyNumberFormat="1" applyFont="1" applyFill="1" applyBorder="1" applyAlignment="1">
      <alignment horizontal="center" vertical="center" wrapText="1"/>
    </xf>
    <xf numFmtId="0" fontId="7" fillId="19" borderId="5" xfId="0" applyFont="1" applyFill="1" applyBorder="1" applyAlignment="1">
      <alignment horizontal="center" vertical="center" wrapText="1"/>
    </xf>
    <xf numFmtId="0" fontId="7" fillId="19" borderId="21" xfId="0" applyFont="1" applyFill="1" applyBorder="1" applyAlignment="1">
      <alignment horizontal="center" vertical="center" wrapText="1"/>
    </xf>
    <xf numFmtId="0" fontId="7" fillId="19" borderId="18"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7" fillId="19" borderId="12" xfId="0" applyFont="1" applyFill="1" applyBorder="1" applyAlignment="1">
      <alignment horizontal="center" vertical="center" wrapText="1"/>
    </xf>
    <xf numFmtId="0" fontId="7" fillId="19" borderId="12" xfId="0" applyFont="1" applyFill="1" applyBorder="1" applyAlignment="1">
      <alignment horizontal="center" vertical="center"/>
    </xf>
    <xf numFmtId="10" fontId="7" fillId="19" borderId="12" xfId="0" applyNumberFormat="1" applyFont="1" applyFill="1" applyBorder="1" applyAlignment="1">
      <alignment horizontal="center" vertical="center" wrapText="1"/>
    </xf>
    <xf numFmtId="0" fontId="9" fillId="19" borderId="34" xfId="0" applyFont="1" applyFill="1" applyBorder="1" applyAlignment="1">
      <alignment horizontal="center" vertical="center"/>
    </xf>
    <xf numFmtId="0" fontId="9" fillId="19" borderId="15" xfId="0" applyFont="1" applyFill="1" applyBorder="1" applyAlignment="1">
      <alignment horizontal="center" vertical="center"/>
    </xf>
    <xf numFmtId="0" fontId="9" fillId="19" borderId="33" xfId="0" applyFont="1" applyFill="1" applyBorder="1" applyAlignment="1">
      <alignment horizontal="center" vertical="center"/>
    </xf>
    <xf numFmtId="10" fontId="9" fillId="19" borderId="15" xfId="0" applyNumberFormat="1" applyFont="1" applyFill="1" applyBorder="1" applyAlignment="1">
      <alignment horizontal="center" vertical="center"/>
    </xf>
    <xf numFmtId="0" fontId="9" fillId="19" borderId="29" xfId="0" applyFont="1" applyFill="1" applyBorder="1" applyAlignment="1">
      <alignment horizontal="center" vertical="center"/>
    </xf>
    <xf numFmtId="0" fontId="20" fillId="19" borderId="12" xfId="0" applyFont="1" applyFill="1" applyBorder="1" applyAlignment="1" applyProtection="1">
      <alignment horizontal="center" vertical="center" wrapText="1"/>
      <protection locked="0"/>
    </xf>
    <xf numFmtId="0" fontId="7" fillId="19" borderId="12" xfId="0" applyFont="1" applyFill="1" applyBorder="1" applyAlignment="1" applyProtection="1">
      <alignment horizontal="center" vertical="center" wrapText="1"/>
      <protection locked="0"/>
    </xf>
    <xf numFmtId="10" fontId="7" fillId="19" borderId="12" xfId="0" applyNumberFormat="1" applyFont="1" applyFill="1" applyBorder="1" applyAlignment="1" applyProtection="1">
      <alignment horizontal="center" vertical="center" wrapText="1"/>
      <protection locked="0"/>
    </xf>
    <xf numFmtId="0" fontId="7" fillId="19" borderId="25" xfId="0" applyFont="1" applyFill="1" applyBorder="1" applyAlignment="1" applyProtection="1">
      <alignment horizontal="center" vertical="center" wrapText="1"/>
      <protection locked="0"/>
    </xf>
    <xf numFmtId="0" fontId="3" fillId="19" borderId="15" xfId="0" applyFont="1" applyFill="1" applyBorder="1" applyAlignment="1" applyProtection="1">
      <alignment horizontal="center" vertical="center"/>
      <protection locked="0"/>
    </xf>
    <xf numFmtId="0" fontId="1" fillId="19" borderId="15" xfId="0" applyFont="1" applyFill="1" applyBorder="1" applyAlignment="1" applyProtection="1">
      <alignment horizontal="center" vertical="center"/>
      <protection locked="0"/>
    </xf>
    <xf numFmtId="10" fontId="1" fillId="19" borderId="15" xfId="0" applyNumberFormat="1" applyFont="1" applyFill="1" applyBorder="1" applyAlignment="1" applyProtection="1">
      <alignment horizontal="center" vertical="center"/>
      <protection locked="0"/>
    </xf>
    <xf numFmtId="0" fontId="1" fillId="19" borderId="29" xfId="0" applyFont="1" applyFill="1" applyBorder="1" applyAlignment="1" applyProtection="1">
      <alignment horizontal="center" vertical="center"/>
      <protection locked="0"/>
    </xf>
    <xf numFmtId="0" fontId="46" fillId="11" borderId="0" xfId="5" applyNumberFormat="1" applyFont="1" applyFill="1" applyBorder="1" applyAlignment="1" applyProtection="1">
      <alignment horizontal="center" vertical="center"/>
    </xf>
    <xf numFmtId="0" fontId="7" fillId="19" borderId="13" xfId="0" applyFont="1" applyFill="1" applyBorder="1" applyAlignment="1">
      <alignment vertical="center" wrapText="1"/>
    </xf>
    <xf numFmtId="0" fontId="8" fillId="19" borderId="14" xfId="0" applyFont="1" applyFill="1" applyBorder="1" applyAlignment="1">
      <alignment vertical="center" wrapText="1"/>
    </xf>
    <xf numFmtId="1" fontId="16" fillId="9" borderId="148" xfId="0" applyNumberFormat="1" applyFont="1" applyFill="1" applyBorder="1" applyAlignment="1" applyProtection="1">
      <alignment horizontal="center" vertical="center" wrapText="1"/>
      <protection locked="0"/>
    </xf>
    <xf numFmtId="4" fontId="16" fillId="0" borderId="60" xfId="0" applyNumberFormat="1" applyFont="1" applyBorder="1" applyAlignment="1">
      <alignment horizontal="center" vertical="center" wrapText="1"/>
    </xf>
    <xf numFmtId="0" fontId="7" fillId="0" borderId="3" xfId="0" applyFont="1" applyBorder="1" applyAlignment="1">
      <alignment horizontal="left" vertical="center"/>
    </xf>
    <xf numFmtId="0" fontId="18" fillId="0" borderId="3" xfId="5" applyFont="1" applyBorder="1" applyAlignment="1" applyProtection="1">
      <alignment horizontal="left" vertical="center"/>
    </xf>
    <xf numFmtId="0" fontId="29" fillId="0" borderId="0" xfId="0" applyFont="1" applyAlignment="1">
      <alignment horizontal="left" vertical="center"/>
    </xf>
    <xf numFmtId="0" fontId="33" fillId="0" borderId="3" xfId="0" applyFont="1" applyBorder="1" applyAlignment="1">
      <alignment horizontal="left" vertical="center" wrapText="1"/>
    </xf>
    <xf numFmtId="0" fontId="33" fillId="0" borderId="3" xfId="0" applyFont="1" applyBorder="1"/>
    <xf numFmtId="0" fontId="33" fillId="0" borderId="3" xfId="0" applyFont="1" applyBorder="1" applyAlignment="1">
      <alignment vertical="center"/>
    </xf>
    <xf numFmtId="0" fontId="29" fillId="0" borderId="0" xfId="0" applyFont="1" applyAlignment="1">
      <alignment vertical="center"/>
    </xf>
    <xf numFmtId="0" fontId="53" fillId="11" borderId="0" xfId="5" applyNumberFormat="1" applyFont="1" applyFill="1" applyBorder="1" applyAlignment="1" applyProtection="1">
      <alignment horizontal="center" vertical="center"/>
    </xf>
    <xf numFmtId="0" fontId="8" fillId="11" borderId="26" xfId="0" applyFont="1" applyFill="1" applyBorder="1" applyAlignment="1">
      <alignment horizontal="center" vertical="center" wrapText="1"/>
    </xf>
    <xf numFmtId="0" fontId="0" fillId="11" borderId="185" xfId="0" applyFill="1" applyBorder="1" applyAlignment="1" applyProtection="1">
      <alignment horizontal="center" vertical="center" wrapText="1"/>
      <protection locked="0"/>
    </xf>
    <xf numFmtId="0" fontId="0" fillId="11" borderId="105" xfId="0" applyFill="1" applyBorder="1" applyAlignment="1" applyProtection="1">
      <alignment horizontal="center" vertical="center" wrapText="1"/>
      <protection locked="0"/>
    </xf>
    <xf numFmtId="170" fontId="16" fillId="8" borderId="135" xfId="0" applyNumberFormat="1" applyFont="1" applyFill="1" applyBorder="1" applyAlignment="1">
      <alignment horizontal="center" vertical="center"/>
    </xf>
    <xf numFmtId="0" fontId="7" fillId="9" borderId="0" xfId="0" applyFont="1" applyFill="1" applyAlignment="1">
      <alignment vertical="center"/>
    </xf>
    <xf numFmtId="0" fontId="8" fillId="9" borderId="0" xfId="0" applyFont="1" applyFill="1" applyAlignment="1">
      <alignment vertical="center"/>
    </xf>
    <xf numFmtId="0" fontId="16" fillId="9" borderId="0" xfId="0" applyFont="1" applyFill="1" applyAlignment="1">
      <alignment horizontal="right" vertical="center"/>
    </xf>
    <xf numFmtId="0" fontId="7" fillId="0" borderId="0" xfId="0" applyFont="1" applyAlignment="1">
      <alignment horizontal="left" vertical="center"/>
    </xf>
    <xf numFmtId="0" fontId="16" fillId="9" borderId="0" xfId="0" applyFont="1" applyFill="1" applyAlignment="1">
      <alignment horizontal="right"/>
    </xf>
    <xf numFmtId="0" fontId="43" fillId="7" borderId="55" xfId="0" applyFont="1" applyFill="1" applyBorder="1" applyAlignment="1">
      <alignment horizontal="center" vertical="center" wrapText="1"/>
    </xf>
    <xf numFmtId="0" fontId="43" fillId="7" borderId="56" xfId="0" applyFont="1" applyFill="1" applyBorder="1" applyAlignment="1">
      <alignment horizontal="center" vertical="center" wrapText="1"/>
    </xf>
    <xf numFmtId="0" fontId="43" fillId="7" borderId="57" xfId="0" applyFont="1" applyFill="1" applyBorder="1" applyAlignment="1">
      <alignment horizontal="center" vertical="center" wrapText="1"/>
    </xf>
    <xf numFmtId="0" fontId="16" fillId="7" borderId="23" xfId="0" applyFont="1" applyFill="1" applyBorder="1" applyAlignment="1">
      <alignment vertical="center" wrapText="1"/>
    </xf>
    <xf numFmtId="0" fontId="16" fillId="7" borderId="24" xfId="0" applyFont="1" applyFill="1" applyBorder="1" applyAlignment="1">
      <alignment vertical="center" wrapText="1"/>
    </xf>
    <xf numFmtId="0" fontId="16" fillId="7" borderId="125" xfId="0" applyFont="1" applyFill="1" applyBorder="1" applyAlignment="1">
      <alignment vertical="center" wrapText="1"/>
    </xf>
    <xf numFmtId="0" fontId="16" fillId="7" borderId="26" xfId="0" applyFont="1" applyFill="1" applyBorder="1" applyAlignment="1">
      <alignment vertical="center" wrapText="1"/>
    </xf>
    <xf numFmtId="0" fontId="16" fillId="7" borderId="0" xfId="0" applyFont="1" applyFill="1" applyAlignment="1">
      <alignment vertical="center" wrapText="1"/>
    </xf>
    <xf numFmtId="0" fontId="16" fillId="7" borderId="54" xfId="0" applyFont="1" applyFill="1" applyBorder="1" applyAlignment="1">
      <alignment vertical="center" wrapText="1"/>
    </xf>
    <xf numFmtId="0" fontId="16" fillId="13" borderId="19" xfId="0" applyFont="1" applyFill="1" applyBorder="1" applyAlignment="1">
      <alignment vertical="center"/>
    </xf>
    <xf numFmtId="0" fontId="16" fillId="13" borderId="20" xfId="0" applyFont="1" applyFill="1" applyBorder="1" applyAlignment="1">
      <alignment vertical="center"/>
    </xf>
    <xf numFmtId="0" fontId="16" fillId="13" borderId="53" xfId="0" applyFont="1" applyFill="1" applyBorder="1" applyAlignment="1">
      <alignment vertical="center"/>
    </xf>
    <xf numFmtId="0" fontId="7" fillId="0" borderId="19" xfId="0" applyFont="1" applyBorder="1" applyAlignment="1">
      <alignment vertical="center" wrapText="1"/>
    </xf>
    <xf numFmtId="0" fontId="7" fillId="0" borderId="22" xfId="0" applyFont="1" applyBorder="1" applyAlignment="1">
      <alignment vertical="center" wrapText="1"/>
    </xf>
    <xf numFmtId="49" fontId="8" fillId="9" borderId="19" xfId="0" applyNumberFormat="1" applyFont="1" applyFill="1" applyBorder="1" applyAlignment="1">
      <alignment horizontal="left" vertical="center"/>
    </xf>
    <xf numFmtId="49" fontId="8" fillId="9" borderId="20" xfId="0" applyNumberFormat="1" applyFont="1" applyFill="1" applyBorder="1" applyAlignment="1">
      <alignment horizontal="left" vertical="center"/>
    </xf>
    <xf numFmtId="49" fontId="8" fillId="9" borderId="22" xfId="0" applyNumberFormat="1" applyFont="1" applyFill="1" applyBorder="1" applyAlignment="1">
      <alignment horizontal="left" vertical="center"/>
    </xf>
    <xf numFmtId="0" fontId="7" fillId="9" borderId="20" xfId="0" applyFont="1" applyFill="1" applyBorder="1" applyAlignment="1">
      <alignment horizontal="left" vertical="center" wrapText="1"/>
    </xf>
    <xf numFmtId="0" fontId="7" fillId="9" borderId="53" xfId="0" applyFont="1" applyFill="1" applyBorder="1" applyAlignment="1">
      <alignment horizontal="left" vertical="center" wrapText="1"/>
    </xf>
    <xf numFmtId="0" fontId="16" fillId="7" borderId="26"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54" xfId="0" applyFont="1" applyFill="1" applyBorder="1" applyAlignment="1">
      <alignment horizontal="left" vertical="center" wrapText="1"/>
    </xf>
    <xf numFmtId="0" fontId="7" fillId="10" borderId="20" xfId="0" applyFont="1" applyFill="1" applyBorder="1" applyAlignment="1">
      <alignment horizontal="left" vertical="center" wrapText="1"/>
    </xf>
    <xf numFmtId="0" fontId="7" fillId="10" borderId="53" xfId="0" applyFont="1" applyFill="1" applyBorder="1" applyAlignment="1">
      <alignment horizontal="left" vertical="center" wrapText="1"/>
    </xf>
    <xf numFmtId="49" fontId="8" fillId="2" borderId="19" xfId="0" applyNumberFormat="1" applyFont="1" applyFill="1" applyBorder="1" applyAlignment="1">
      <alignment horizontal="left" vertical="center"/>
    </xf>
    <xf numFmtId="49" fontId="8" fillId="2" borderId="20" xfId="0" applyNumberFormat="1" applyFont="1" applyFill="1" applyBorder="1" applyAlignment="1">
      <alignment horizontal="left" vertical="center"/>
    </xf>
    <xf numFmtId="49" fontId="8" fillId="2" borderId="22" xfId="0" applyNumberFormat="1" applyFont="1" applyFill="1" applyBorder="1" applyAlignment="1">
      <alignment horizontal="left" vertical="center"/>
    </xf>
    <xf numFmtId="49" fontId="8" fillId="2" borderId="53" xfId="0" applyNumberFormat="1" applyFont="1" applyFill="1" applyBorder="1" applyAlignment="1">
      <alignment horizontal="lef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22" xfId="0" applyFont="1" applyBorder="1" applyAlignment="1">
      <alignment vertical="center"/>
    </xf>
    <xf numFmtId="49" fontId="8" fillId="9" borderId="53" xfId="0" applyNumberFormat="1" applyFont="1" applyFill="1" applyBorder="1" applyAlignment="1">
      <alignment horizontal="left" vertical="center"/>
    </xf>
    <xf numFmtId="0" fontId="16" fillId="22" borderId="19" xfId="0" applyFont="1" applyFill="1" applyBorder="1" applyAlignment="1">
      <alignment horizontal="center" vertical="center"/>
    </xf>
    <xf numFmtId="0" fontId="16" fillId="22" borderId="20" xfId="0" applyFont="1" applyFill="1" applyBorder="1" applyAlignment="1">
      <alignment horizontal="center" vertical="center"/>
    </xf>
    <xf numFmtId="0" fontId="16" fillId="22" borderId="22" xfId="0" applyFont="1" applyFill="1" applyBorder="1" applyAlignment="1">
      <alignment horizontal="center" vertical="center"/>
    </xf>
    <xf numFmtId="183" fontId="16" fillId="8" borderId="19" xfId="0" applyNumberFormat="1" applyFont="1" applyFill="1" applyBorder="1" applyAlignment="1">
      <alignment horizontal="center" vertical="center"/>
    </xf>
    <xf numFmtId="183" fontId="16" fillId="8" borderId="20" xfId="0" applyNumberFormat="1" applyFont="1" applyFill="1" applyBorder="1" applyAlignment="1">
      <alignment horizontal="center" vertical="center"/>
    </xf>
    <xf numFmtId="183" fontId="16" fillId="8" borderId="22" xfId="0" applyNumberFormat="1" applyFont="1" applyFill="1" applyBorder="1" applyAlignment="1">
      <alignment horizontal="center" vertical="center"/>
    </xf>
    <xf numFmtId="0" fontId="41" fillId="7" borderId="26" xfId="0" applyFont="1" applyFill="1" applyBorder="1" applyAlignment="1">
      <alignment vertical="center"/>
    </xf>
    <xf numFmtId="0" fontId="41" fillId="7" borderId="0" xfId="0" applyFont="1" applyFill="1" applyAlignment="1">
      <alignment vertical="center"/>
    </xf>
    <xf numFmtId="0" fontId="41" fillId="7" borderId="54" xfId="0" applyFont="1" applyFill="1" applyBorder="1" applyAlignment="1">
      <alignment vertical="center"/>
    </xf>
    <xf numFmtId="0" fontId="40" fillId="7" borderId="23" xfId="0" applyFont="1" applyFill="1" applyBorder="1" applyAlignment="1">
      <alignment vertical="center"/>
    </xf>
    <xf numFmtId="0" fontId="40" fillId="7" borderId="24" xfId="0" applyFont="1" applyFill="1" applyBorder="1" applyAlignment="1">
      <alignment vertical="center"/>
    </xf>
    <xf numFmtId="0" fontId="40" fillId="7" borderId="125" xfId="0" applyFont="1" applyFill="1" applyBorder="1" applyAlignment="1">
      <alignment vertical="center"/>
    </xf>
    <xf numFmtId="0" fontId="28" fillId="11" borderId="26" xfId="0" applyFont="1" applyFill="1" applyBorder="1" applyAlignment="1">
      <alignment horizontal="center" vertical="center" textRotation="180"/>
    </xf>
    <xf numFmtId="0" fontId="7" fillId="9" borderId="23"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25" xfId="0" applyFont="1" applyFill="1" applyBorder="1" applyAlignment="1">
      <alignment horizontal="center" vertical="center" wrapText="1"/>
    </xf>
    <xf numFmtId="0" fontId="7" fillId="9" borderId="26" xfId="0"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27"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8" fillId="0" borderId="158" xfId="0" applyFont="1" applyBorder="1" applyAlignment="1">
      <alignment horizontal="left" vertical="center" wrapText="1"/>
    </xf>
    <xf numFmtId="0" fontId="8" fillId="0" borderId="159" xfId="0" applyFont="1" applyBorder="1" applyAlignment="1">
      <alignment horizontal="left" vertical="center" wrapText="1"/>
    </xf>
    <xf numFmtId="0" fontId="8" fillId="0" borderId="160" xfId="0" applyFont="1" applyBorder="1" applyAlignment="1">
      <alignment horizontal="left" vertical="center" wrapText="1"/>
    </xf>
    <xf numFmtId="0" fontId="8" fillId="0" borderId="161" xfId="0" applyFont="1" applyBorder="1" applyAlignment="1">
      <alignment horizontal="left" vertical="center" wrapText="1"/>
    </xf>
    <xf numFmtId="0" fontId="8" fillId="0" borderId="162" xfId="0" applyFont="1" applyBorder="1" applyAlignment="1">
      <alignment horizontal="left" vertical="center" wrapText="1"/>
    </xf>
    <xf numFmtId="0" fontId="8" fillId="0" borderId="163" xfId="0" applyFont="1" applyBorder="1" applyAlignment="1">
      <alignment horizontal="left" vertical="center" wrapText="1"/>
    </xf>
    <xf numFmtId="168" fontId="8" fillId="0" borderId="70" xfId="0" applyNumberFormat="1" applyFont="1" applyBorder="1" applyAlignment="1" applyProtection="1">
      <alignment horizontal="center" vertical="center"/>
      <protection locked="0"/>
    </xf>
    <xf numFmtId="168" fontId="8" fillId="0" borderId="66" xfId="0" applyNumberFormat="1" applyFont="1" applyBorder="1" applyAlignment="1" applyProtection="1">
      <alignment horizontal="center" vertical="center"/>
      <protection locked="0"/>
    </xf>
    <xf numFmtId="168" fontId="5" fillId="0" borderId="66" xfId="5" applyNumberFormat="1" applyBorder="1" applyAlignment="1" applyProtection="1">
      <alignment horizontal="center" vertical="center"/>
      <protection locked="0"/>
    </xf>
    <xf numFmtId="168" fontId="8" fillId="0" borderId="95" xfId="0" applyNumberFormat="1"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95" xfId="0" applyNumberFormat="1" applyFont="1" applyBorder="1" applyAlignment="1" applyProtection="1">
      <alignment horizontal="left" vertical="center"/>
      <protection locked="0"/>
    </xf>
    <xf numFmtId="0" fontId="8" fillId="0" borderId="79" xfId="0" applyFont="1" applyBorder="1" applyAlignment="1" applyProtection="1">
      <alignment horizontal="left" vertical="center"/>
      <protection locked="0"/>
    </xf>
    <xf numFmtId="0" fontId="8" fillId="0" borderId="71" xfId="0" applyFont="1" applyBorder="1" applyAlignment="1" applyProtection="1">
      <alignment horizontal="left" vertical="center"/>
      <protection locked="0"/>
    </xf>
    <xf numFmtId="0" fontId="8" fillId="0" borderId="89" xfId="0" applyFont="1" applyBorder="1" applyAlignment="1" applyProtection="1">
      <alignment horizontal="left" vertical="center"/>
      <protection locked="0"/>
    </xf>
    <xf numFmtId="0" fontId="8" fillId="0" borderId="70"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8" fillId="0" borderId="95" xfId="0" applyFont="1" applyBorder="1" applyAlignment="1" applyProtection="1">
      <alignment horizontal="left" vertical="center"/>
      <protection locked="0"/>
    </xf>
    <xf numFmtId="0" fontId="8" fillId="0" borderId="70" xfId="0" applyFont="1" applyBorder="1" applyAlignment="1">
      <alignment horizontal="left" vertical="center"/>
    </xf>
    <xf numFmtId="0" fontId="8" fillId="0" borderId="66" xfId="0" applyFont="1" applyBorder="1" applyAlignment="1">
      <alignment horizontal="left" vertical="center"/>
    </xf>
    <xf numFmtId="0" fontId="8" fillId="0" borderId="95" xfId="0" applyFont="1" applyBorder="1" applyAlignment="1">
      <alignment horizontal="left" vertical="center"/>
    </xf>
    <xf numFmtId="0" fontId="8" fillId="0" borderId="70" xfId="0" applyFont="1" applyBorder="1" applyAlignment="1">
      <alignment vertical="center" wrapText="1"/>
    </xf>
    <xf numFmtId="0" fontId="8" fillId="0" borderId="66" xfId="0" applyFont="1" applyBorder="1" applyAlignment="1">
      <alignment vertical="center" wrapText="1"/>
    </xf>
    <xf numFmtId="0" fontId="8" fillId="0" borderId="95" xfId="0" applyFont="1" applyBorder="1" applyAlignment="1">
      <alignment vertical="center" wrapText="1"/>
    </xf>
    <xf numFmtId="0" fontId="8" fillId="0" borderId="78" xfId="0" applyFont="1" applyBorder="1" applyAlignment="1">
      <alignment horizontal="left" vertical="center" wrapText="1"/>
    </xf>
    <xf numFmtId="0" fontId="8" fillId="0" borderId="85" xfId="0" applyFont="1" applyBorder="1" applyAlignment="1">
      <alignment horizontal="left" vertical="center" wrapText="1"/>
    </xf>
    <xf numFmtId="0" fontId="8" fillId="0" borderId="98" xfId="0" applyFont="1" applyBorder="1" applyAlignment="1">
      <alignment horizontal="left" vertical="center" wrapText="1"/>
    </xf>
    <xf numFmtId="0" fontId="8" fillId="0" borderId="81" xfId="0" applyFont="1" applyBorder="1" applyAlignment="1">
      <alignment horizontal="left" vertical="center" wrapText="1"/>
    </xf>
    <xf numFmtId="0" fontId="8" fillId="0" borderId="0" xfId="0" applyFont="1" applyAlignment="1">
      <alignment horizontal="left" vertical="center" wrapText="1"/>
    </xf>
    <xf numFmtId="0" fontId="8" fillId="0" borderId="27" xfId="0" applyFont="1" applyBorder="1" applyAlignment="1">
      <alignment horizontal="left" vertical="center" wrapText="1"/>
    </xf>
    <xf numFmtId="0" fontId="8" fillId="0" borderId="70" xfId="0" applyFont="1" applyBorder="1" applyAlignment="1">
      <alignment horizontal="left" vertical="center" wrapText="1"/>
    </xf>
    <xf numFmtId="0" fontId="8" fillId="0" borderId="66" xfId="0" applyFont="1" applyBorder="1" applyAlignment="1">
      <alignment horizontal="left" vertical="center" wrapText="1"/>
    </xf>
    <xf numFmtId="0" fontId="8" fillId="0" borderId="95" xfId="0" applyFont="1" applyBorder="1" applyAlignment="1">
      <alignment horizontal="left" vertical="center" wrapText="1"/>
    </xf>
    <xf numFmtId="0" fontId="7" fillId="0" borderId="10" xfId="0" applyFont="1" applyBorder="1" applyAlignment="1">
      <alignment horizontal="left" vertical="center" wrapText="1"/>
    </xf>
    <xf numFmtId="0" fontId="7" fillId="0" borderId="76" xfId="0" applyFont="1" applyBorder="1" applyAlignment="1">
      <alignment horizontal="left" vertical="center" wrapText="1"/>
    </xf>
    <xf numFmtId="0" fontId="7" fillId="0" borderId="99" xfId="0" applyFont="1" applyBorder="1" applyAlignment="1">
      <alignment horizontal="left" vertical="center" wrapText="1"/>
    </xf>
    <xf numFmtId="0" fontId="7" fillId="0" borderId="75" xfId="0" applyFont="1" applyBorder="1" applyAlignment="1">
      <alignment horizontal="left" vertical="center" wrapText="1"/>
    </xf>
    <xf numFmtId="0" fontId="7" fillId="0" borderId="9" xfId="0" applyFont="1" applyBorder="1" applyAlignment="1">
      <alignment horizontal="left" vertical="center" wrapText="1"/>
    </xf>
    <xf numFmtId="0" fontId="7" fillId="0" borderId="71" xfId="0" applyFont="1" applyBorder="1" applyAlignment="1">
      <alignment horizontal="left" vertical="center" wrapText="1"/>
    </xf>
    <xf numFmtId="0" fontId="7" fillId="0" borderId="107" xfId="0" applyFont="1" applyBorder="1" applyAlignment="1">
      <alignment horizontal="left" vertical="center" wrapText="1"/>
    </xf>
    <xf numFmtId="14" fontId="8" fillId="0" borderId="79" xfId="0" applyNumberFormat="1" applyFont="1" applyBorder="1" applyAlignment="1" applyProtection="1">
      <alignment horizontal="center" vertical="center"/>
      <protection locked="0"/>
    </xf>
    <xf numFmtId="14" fontId="8" fillId="0" borderId="89" xfId="0" applyNumberFormat="1" applyFont="1" applyBorder="1" applyAlignment="1" applyProtection="1">
      <alignment horizontal="center" vertical="center"/>
      <protection locked="0"/>
    </xf>
    <xf numFmtId="170" fontId="8" fillId="0" borderId="80" xfId="0" applyNumberFormat="1" applyFont="1" applyBorder="1" applyAlignment="1" applyProtection="1">
      <alignment horizontal="left" vertical="center"/>
      <protection locked="0"/>
    </xf>
    <xf numFmtId="170" fontId="8" fillId="0" borderId="77" xfId="0" applyNumberFormat="1" applyFont="1" applyBorder="1" applyAlignment="1" applyProtection="1">
      <alignment horizontal="left" vertical="center"/>
      <protection locked="0"/>
    </xf>
    <xf numFmtId="0" fontId="8" fillId="11" borderId="130" xfId="0" applyFont="1" applyFill="1" applyBorder="1" applyAlignment="1">
      <alignment vertical="center"/>
    </xf>
    <xf numFmtId="0" fontId="8" fillId="11" borderId="71" xfId="0" applyFont="1" applyFill="1" applyBorder="1" applyAlignment="1">
      <alignment vertical="center"/>
    </xf>
    <xf numFmtId="0" fontId="8" fillId="11" borderId="4" xfId="0" applyFont="1" applyFill="1" applyBorder="1" applyAlignment="1">
      <alignment vertical="center"/>
    </xf>
    <xf numFmtId="0" fontId="27" fillId="9" borderId="19" xfId="5" applyFont="1" applyFill="1" applyBorder="1" applyAlignment="1" applyProtection="1">
      <alignment horizontal="center" vertical="center"/>
    </xf>
    <xf numFmtId="0" fontId="7" fillId="9" borderId="20" xfId="0" applyFont="1" applyFill="1" applyBorder="1" applyAlignment="1">
      <alignment horizontal="center" vertical="center"/>
    </xf>
    <xf numFmtId="0" fontId="7" fillId="9" borderId="22" xfId="0" applyFont="1" applyFill="1" applyBorder="1" applyAlignment="1">
      <alignment horizontal="center" vertical="center"/>
    </xf>
    <xf numFmtId="0" fontId="28" fillId="11" borderId="72" xfId="0" applyFont="1" applyFill="1" applyBorder="1" applyAlignment="1">
      <alignment horizontal="center" vertical="center" textRotation="180"/>
    </xf>
    <xf numFmtId="0" fontId="7" fillId="11" borderId="26" xfId="0" applyFont="1" applyFill="1" applyBorder="1" applyAlignment="1">
      <alignment vertical="center"/>
    </xf>
    <xf numFmtId="0" fontId="7" fillId="11" borderId="0" xfId="0" applyFont="1" applyFill="1" applyAlignment="1">
      <alignment vertical="center"/>
    </xf>
    <xf numFmtId="0" fontId="7" fillId="11" borderId="26"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26" xfId="0" applyFont="1" applyFill="1" applyBorder="1" applyAlignment="1">
      <alignment horizontal="left" vertical="center" wrapText="1"/>
    </xf>
    <xf numFmtId="0" fontId="7" fillId="11" borderId="0" xfId="0" applyFont="1" applyFill="1" applyAlignment="1">
      <alignment horizontal="left" vertical="center" wrapText="1"/>
    </xf>
    <xf numFmtId="0" fontId="8" fillId="3" borderId="23"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27" xfId="0" applyFont="1" applyFill="1" applyBorder="1" applyAlignment="1">
      <alignment horizontal="left" vertical="center" wrapText="1"/>
    </xf>
    <xf numFmtId="0" fontId="8" fillId="3" borderId="28"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28" fillId="11" borderId="27" xfId="0" applyFont="1" applyFill="1" applyBorder="1" applyAlignment="1">
      <alignment horizontal="center" vertical="center" textRotation="180"/>
    </xf>
    <xf numFmtId="0" fontId="63" fillId="9" borderId="23" xfId="0" applyFont="1" applyFill="1" applyBorder="1" applyAlignment="1">
      <alignment vertical="top" wrapText="1"/>
    </xf>
    <xf numFmtId="0" fontId="63" fillId="9" borderId="24" xfId="0" applyFont="1" applyFill="1" applyBorder="1" applyAlignment="1">
      <alignment vertical="top" wrapText="1"/>
    </xf>
    <xf numFmtId="0" fontId="63" fillId="9" borderId="25" xfId="0" applyFont="1" applyFill="1" applyBorder="1" applyAlignment="1">
      <alignment vertical="top" wrapText="1"/>
    </xf>
    <xf numFmtId="0" fontId="63" fillId="9" borderId="26" xfId="0" applyFont="1" applyFill="1" applyBorder="1" applyAlignment="1">
      <alignment vertical="top" wrapText="1"/>
    </xf>
    <xf numFmtId="0" fontId="63" fillId="9" borderId="0" xfId="0" applyFont="1" applyFill="1" applyAlignment="1">
      <alignment vertical="top" wrapText="1"/>
    </xf>
    <xf numFmtId="0" fontId="63" fillId="9" borderId="27" xfId="0" applyFont="1" applyFill="1" applyBorder="1" applyAlignment="1">
      <alignment vertical="top" wrapText="1"/>
    </xf>
    <xf numFmtId="0" fontId="63" fillId="9" borderId="28" xfId="0" applyFont="1" applyFill="1" applyBorder="1" applyAlignment="1">
      <alignment vertical="top" wrapText="1"/>
    </xf>
    <xf numFmtId="0" fontId="63" fillId="9" borderId="3" xfId="0" applyFont="1" applyFill="1" applyBorder="1" applyAlignment="1">
      <alignment vertical="top" wrapText="1"/>
    </xf>
    <xf numFmtId="0" fontId="63" fillId="9" borderId="29" xfId="0" applyFont="1" applyFill="1" applyBorder="1" applyAlignment="1">
      <alignment vertical="top" wrapText="1"/>
    </xf>
    <xf numFmtId="0" fontId="8" fillId="9" borderId="23"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27"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19" fillId="0" borderId="0" xfId="0" applyFont="1" applyAlignment="1">
      <alignment horizontal="center" vertical="center"/>
    </xf>
    <xf numFmtId="0" fontId="54" fillId="12" borderId="19" xfId="0" applyFont="1" applyFill="1" applyBorder="1" applyAlignment="1">
      <alignment horizontal="left" vertical="center"/>
    </xf>
    <xf numFmtId="0" fontId="54" fillId="12" borderId="20" xfId="0" applyFont="1" applyFill="1" applyBorder="1" applyAlignment="1">
      <alignment horizontal="left" vertical="center"/>
    </xf>
    <xf numFmtId="0" fontId="54" fillId="12" borderId="22" xfId="0" applyFont="1" applyFill="1" applyBorder="1" applyAlignment="1">
      <alignment horizontal="left" vertical="center"/>
    </xf>
    <xf numFmtId="49" fontId="8" fillId="0" borderId="67" xfId="0" applyNumberFormat="1" applyFont="1" applyBorder="1" applyAlignment="1" applyProtection="1">
      <alignment horizontal="left" vertical="center"/>
      <protection locked="0"/>
    </xf>
    <xf numFmtId="49" fontId="8" fillId="0" borderId="87" xfId="0" applyNumberFormat="1" applyFont="1" applyBorder="1" applyAlignment="1" applyProtection="1">
      <alignment horizontal="left" vertical="center"/>
      <protection locked="0"/>
    </xf>
    <xf numFmtId="49" fontId="8" fillId="0" borderId="71" xfId="0" applyNumberFormat="1" applyFont="1" applyBorder="1" applyAlignment="1" applyProtection="1">
      <alignment horizontal="left" vertical="center"/>
      <protection locked="0"/>
    </xf>
    <xf numFmtId="49" fontId="8" fillId="0" borderId="89" xfId="0" applyNumberFormat="1" applyFont="1" applyBorder="1" applyAlignment="1" applyProtection="1">
      <alignment horizontal="left" vertical="center"/>
      <protection locked="0"/>
    </xf>
    <xf numFmtId="0" fontId="8" fillId="0" borderId="180" xfId="0" applyFont="1" applyBorder="1" applyAlignment="1">
      <alignment horizontal="left" vertical="center" wrapText="1"/>
    </xf>
    <xf numFmtId="0" fontId="8" fillId="0" borderId="113" xfId="0" applyFont="1" applyBorder="1" applyAlignment="1">
      <alignment horizontal="left" vertical="center" wrapText="1"/>
    </xf>
    <xf numFmtId="0" fontId="8" fillId="0" borderId="114" xfId="0" applyFont="1" applyBorder="1" applyAlignment="1">
      <alignment horizontal="left" vertical="center" wrapText="1"/>
    </xf>
    <xf numFmtId="0" fontId="8" fillId="0" borderId="179" xfId="0" applyFont="1" applyBorder="1" applyAlignment="1">
      <alignment horizontal="left" vertical="center" wrapText="1"/>
    </xf>
    <xf numFmtId="0" fontId="8" fillId="0" borderId="69" xfId="0" applyFont="1" applyBorder="1" applyAlignment="1">
      <alignment horizontal="left" vertical="center" wrapText="1"/>
    </xf>
    <xf numFmtId="0" fontId="8" fillId="0" borderId="92" xfId="0" applyFont="1" applyBorder="1" applyAlignment="1">
      <alignment horizontal="left" vertical="center" wrapText="1"/>
    </xf>
    <xf numFmtId="0" fontId="7" fillId="0" borderId="91" xfId="0" applyFont="1" applyBorder="1" applyAlignment="1">
      <alignment horizontal="left" vertical="center"/>
    </xf>
    <xf numFmtId="0" fontId="7" fillId="0" borderId="93" xfId="0" applyFont="1" applyBorder="1" applyAlignment="1">
      <alignment horizontal="left" vertical="center"/>
    </xf>
    <xf numFmtId="0" fontId="7" fillId="0" borderId="88" xfId="0" applyFont="1" applyBorder="1" applyAlignment="1">
      <alignment horizontal="left" vertical="center"/>
    </xf>
    <xf numFmtId="169" fontId="8" fillId="0" borderId="71" xfId="0" applyNumberFormat="1" applyFont="1" applyBorder="1" applyAlignment="1" applyProtection="1">
      <alignment horizontal="left" vertical="center"/>
      <protection locked="0"/>
    </xf>
    <xf numFmtId="169" fontId="8" fillId="0" borderId="89" xfId="0" applyNumberFormat="1" applyFont="1" applyBorder="1" applyAlignment="1" applyProtection="1">
      <alignment horizontal="left" vertical="center"/>
      <protection locked="0"/>
    </xf>
    <xf numFmtId="0" fontId="7" fillId="0" borderId="0" xfId="0" applyFont="1" applyAlignment="1">
      <alignment vertical="center"/>
    </xf>
    <xf numFmtId="0" fontId="29" fillId="0" borderId="3" xfId="0" applyFont="1" applyBorder="1" applyAlignment="1">
      <alignment vertical="center"/>
    </xf>
    <xf numFmtId="0" fontId="16" fillId="9" borderId="0" xfId="0" applyFont="1" applyFill="1" applyAlignment="1">
      <alignment vertical="center"/>
    </xf>
    <xf numFmtId="49" fontId="8" fillId="0" borderId="158" xfId="0" applyNumberFormat="1" applyFont="1" applyBorder="1" applyAlignment="1" applyProtection="1">
      <alignment horizontal="left" vertical="center"/>
      <protection locked="0"/>
    </xf>
    <xf numFmtId="49" fontId="8" fillId="0" borderId="159" xfId="0" applyNumberFormat="1" applyFont="1" applyBorder="1" applyAlignment="1" applyProtection="1">
      <alignment horizontal="left" vertical="center"/>
      <protection locked="0"/>
    </xf>
    <xf numFmtId="49" fontId="8" fillId="0" borderId="165" xfId="0" applyNumberFormat="1" applyFont="1" applyBorder="1" applyAlignment="1" applyProtection="1">
      <alignment horizontal="left" vertical="center"/>
      <protection locked="0"/>
    </xf>
    <xf numFmtId="49" fontId="8" fillId="0" borderId="166" xfId="0" applyNumberFormat="1" applyFont="1" applyBorder="1" applyAlignment="1" applyProtection="1">
      <alignment horizontal="left" vertical="center"/>
      <protection locked="0"/>
    </xf>
    <xf numFmtId="0" fontId="7" fillId="0" borderId="158" xfId="0" applyFont="1" applyBorder="1" applyAlignment="1">
      <alignment vertical="center" wrapText="1"/>
    </xf>
    <xf numFmtId="0" fontId="7" fillId="0" borderId="165" xfId="0" applyFont="1" applyBorder="1" applyAlignment="1">
      <alignment vertical="center" wrapText="1"/>
    </xf>
    <xf numFmtId="0" fontId="7" fillId="0" borderId="91" xfId="0" applyFont="1" applyBorder="1" applyAlignment="1">
      <alignment vertical="center" wrapText="1"/>
    </xf>
    <xf numFmtId="0" fontId="7" fillId="0" borderId="164" xfId="0" applyFont="1" applyBorder="1" applyAlignment="1">
      <alignment vertical="center" wrapText="1"/>
    </xf>
    <xf numFmtId="0" fontId="8" fillId="9" borderId="0" xfId="0" applyFont="1" applyFill="1" applyAlignment="1">
      <alignment horizontal="left" vertical="top" wrapText="1"/>
    </xf>
    <xf numFmtId="0" fontId="8" fillId="9" borderId="27" xfId="0" applyFont="1" applyFill="1" applyBorder="1" applyAlignment="1">
      <alignment horizontal="left" vertical="top" wrapText="1"/>
    </xf>
    <xf numFmtId="0" fontId="8" fillId="9" borderId="26" xfId="0" applyFont="1" applyFill="1" applyBorder="1" applyAlignment="1">
      <alignment horizontal="left" vertical="top" wrapText="1"/>
    </xf>
    <xf numFmtId="0" fontId="8" fillId="9" borderId="19" xfId="0" applyFont="1" applyFill="1" applyBorder="1" applyAlignment="1">
      <alignment horizontal="center" vertical="center"/>
    </xf>
    <xf numFmtId="0" fontId="8" fillId="9" borderId="20" xfId="0" applyFont="1" applyFill="1" applyBorder="1" applyAlignment="1">
      <alignment horizontal="center" vertical="center"/>
    </xf>
    <xf numFmtId="0" fontId="8" fillId="9" borderId="22" xfId="0" applyFont="1" applyFill="1" applyBorder="1" applyAlignment="1">
      <alignment horizontal="center" vertical="center"/>
    </xf>
    <xf numFmtId="0" fontId="8" fillId="0" borderId="82"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81" xfId="0" applyFont="1" applyBorder="1" applyAlignment="1">
      <alignment vertical="center" wrapText="1"/>
    </xf>
    <xf numFmtId="0" fontId="8" fillId="0" borderId="0" xfId="0" applyFont="1" applyAlignment="1">
      <alignment vertical="center" wrapText="1"/>
    </xf>
    <xf numFmtId="0" fontId="8" fillId="0" borderId="27" xfId="0" applyFont="1" applyBorder="1" applyAlignment="1">
      <alignment vertical="center" wrapText="1"/>
    </xf>
    <xf numFmtId="0" fontId="8" fillId="0" borderId="124" xfId="0" applyFont="1" applyBorder="1" applyAlignment="1">
      <alignment horizontal="left" vertical="center" wrapText="1"/>
    </xf>
    <xf numFmtId="0" fontId="8" fillId="0" borderId="143" xfId="0" applyFont="1" applyBorder="1" applyAlignment="1">
      <alignment horizontal="left" vertical="center" wrapText="1"/>
    </xf>
    <xf numFmtId="0" fontId="8" fillId="0" borderId="51" xfId="0" applyFont="1" applyBorder="1" applyAlignment="1">
      <alignment horizontal="left" vertical="center" wrapText="1"/>
    </xf>
    <xf numFmtId="168" fontId="5" fillId="0" borderId="79" xfId="5" applyNumberFormat="1" applyBorder="1" applyAlignment="1" applyProtection="1">
      <alignment horizontal="center" vertical="center" wrapText="1"/>
      <protection locked="0"/>
    </xf>
    <xf numFmtId="168" fontId="8" fillId="0" borderId="89" xfId="0" applyNumberFormat="1" applyFont="1" applyBorder="1" applyAlignment="1" applyProtection="1">
      <alignment horizontal="center" vertical="center" wrapText="1"/>
      <protection locked="0"/>
    </xf>
    <xf numFmtId="49" fontId="8" fillId="0" borderId="83" xfId="0" applyNumberFormat="1" applyFont="1" applyBorder="1" applyAlignment="1" applyProtection="1">
      <alignment vertical="center"/>
      <protection locked="0"/>
    </xf>
    <xf numFmtId="49" fontId="8" fillId="0" borderId="67" xfId="0" applyNumberFormat="1" applyFont="1" applyBorder="1" applyAlignment="1" applyProtection="1">
      <alignment vertical="center"/>
      <protection locked="0"/>
    </xf>
    <xf numFmtId="49" fontId="8" fillId="0" borderId="87" xfId="0" applyNumberFormat="1" applyFont="1" applyBorder="1" applyAlignment="1" applyProtection="1">
      <alignment vertical="center"/>
      <protection locked="0"/>
    </xf>
    <xf numFmtId="49" fontId="8" fillId="0" borderId="70" xfId="0" applyNumberFormat="1" applyFont="1" applyBorder="1" applyAlignment="1" applyProtection="1">
      <alignment vertical="center"/>
      <protection locked="0"/>
    </xf>
    <xf numFmtId="49" fontId="8" fillId="0" borderId="66" xfId="0" applyNumberFormat="1" applyFont="1" applyBorder="1" applyAlignment="1" applyProtection="1">
      <alignment vertical="center"/>
      <protection locked="0"/>
    </xf>
    <xf numFmtId="49" fontId="8" fillId="0" borderId="95" xfId="0" applyNumberFormat="1" applyFont="1" applyBorder="1" applyAlignment="1" applyProtection="1">
      <alignment vertical="center"/>
      <protection locked="0"/>
    </xf>
    <xf numFmtId="168" fontId="8" fillId="0" borderId="79" xfId="0" applyNumberFormat="1" applyFont="1" applyBorder="1" applyAlignment="1" applyProtection="1">
      <alignment horizontal="center" vertical="center"/>
      <protection locked="0"/>
    </xf>
    <xf numFmtId="168" fontId="8" fillId="0" borderId="89" xfId="0" applyNumberFormat="1" applyFont="1" applyBorder="1" applyAlignment="1" applyProtection="1">
      <alignment horizontal="center" vertical="center"/>
      <protection locked="0"/>
    </xf>
    <xf numFmtId="0" fontId="7" fillId="0" borderId="85" xfId="0" applyFont="1" applyBorder="1" applyAlignment="1">
      <alignment horizontal="left" vertical="center" wrapText="1"/>
    </xf>
    <xf numFmtId="0" fontId="7" fillId="0" borderId="66" xfId="0" applyFont="1" applyBorder="1" applyAlignment="1">
      <alignment horizontal="left" vertical="center" wrapText="1"/>
    </xf>
    <xf numFmtId="0" fontId="7" fillId="0" borderId="30" xfId="0" applyFont="1" applyBorder="1" applyAlignment="1">
      <alignment vertical="center"/>
    </xf>
    <xf numFmtId="0" fontId="7" fillId="0" borderId="67" xfId="0" applyFont="1" applyBorder="1" applyAlignment="1">
      <alignment vertical="center"/>
    </xf>
    <xf numFmtId="0" fontId="7" fillId="0" borderId="74" xfId="0" applyFont="1" applyBorder="1" applyAlignment="1">
      <alignment vertical="center"/>
    </xf>
    <xf numFmtId="0" fontId="16" fillId="9" borderId="158" xfId="0" applyFont="1" applyFill="1" applyBorder="1" applyAlignment="1">
      <alignment horizontal="left" vertical="center"/>
    </xf>
    <xf numFmtId="0" fontId="7" fillId="0" borderId="104" xfId="0" applyFont="1" applyBorder="1" applyAlignment="1">
      <alignment horizontal="center" vertical="center"/>
    </xf>
    <xf numFmtId="0" fontId="7" fillId="0" borderId="93" xfId="0" applyFont="1" applyBorder="1" applyAlignment="1">
      <alignment horizontal="center" vertical="center"/>
    </xf>
    <xf numFmtId="0" fontId="7" fillId="9" borderId="158" xfId="0" applyFont="1" applyFill="1" applyBorder="1" applyAlignment="1">
      <alignment vertical="center"/>
    </xf>
    <xf numFmtId="0" fontId="7" fillId="9" borderId="159" xfId="0" applyFont="1" applyFill="1" applyBorder="1" applyAlignment="1">
      <alignment vertical="center"/>
    </xf>
    <xf numFmtId="0" fontId="7" fillId="9" borderId="162" xfId="0" applyFont="1" applyFill="1" applyBorder="1" applyAlignment="1">
      <alignment vertical="center"/>
    </xf>
    <xf numFmtId="0" fontId="7" fillId="9" borderId="163" xfId="0" applyFont="1" applyFill="1" applyBorder="1" applyAlignment="1">
      <alignment vertical="center"/>
    </xf>
    <xf numFmtId="0" fontId="7" fillId="9" borderId="91" xfId="0" applyFont="1" applyFill="1" applyBorder="1" applyAlignment="1">
      <alignment vertical="center" wrapText="1"/>
    </xf>
    <xf numFmtId="0" fontId="7" fillId="9" borderId="88" xfId="0" applyFont="1" applyFill="1" applyBorder="1" applyAlignment="1">
      <alignment vertical="center" wrapText="1"/>
    </xf>
    <xf numFmtId="0" fontId="7" fillId="0" borderId="158" xfId="0" applyFont="1" applyBorder="1" applyAlignment="1">
      <alignment horizontal="left" vertical="center" wrapText="1"/>
    </xf>
    <xf numFmtId="0" fontId="7" fillId="0" borderId="162" xfId="0" applyFont="1" applyBorder="1" applyAlignment="1">
      <alignment horizontal="left" vertical="center" wrapText="1"/>
    </xf>
    <xf numFmtId="0" fontId="7" fillId="0" borderId="88" xfId="0" applyFont="1" applyBorder="1" applyAlignment="1">
      <alignment vertical="center" wrapText="1"/>
    </xf>
    <xf numFmtId="0" fontId="7" fillId="9" borderId="10" xfId="0" applyFont="1" applyFill="1" applyBorder="1" applyAlignment="1">
      <alignment vertical="center" wrapText="1"/>
    </xf>
    <xf numFmtId="0" fontId="7" fillId="9" borderId="99" xfId="0" applyFont="1" applyFill="1" applyBorder="1" applyAlignment="1">
      <alignment vertical="center" wrapText="1"/>
    </xf>
    <xf numFmtId="0" fontId="7" fillId="9" borderId="85" xfId="0" applyFont="1" applyFill="1" applyBorder="1" applyAlignment="1">
      <alignment vertical="center"/>
    </xf>
    <xf numFmtId="0" fontId="7" fillId="9" borderId="98" xfId="0" applyFont="1" applyFill="1" applyBorder="1" applyAlignment="1">
      <alignment vertical="center"/>
    </xf>
    <xf numFmtId="0" fontId="7" fillId="9" borderId="66" xfId="0" applyFont="1" applyFill="1" applyBorder="1" applyAlignment="1">
      <alignment vertical="center"/>
    </xf>
    <xf numFmtId="0" fontId="7" fillId="9" borderId="95" xfId="0" applyFont="1" applyFill="1" applyBorder="1" applyAlignment="1">
      <alignment vertical="center"/>
    </xf>
    <xf numFmtId="0" fontId="16" fillId="9" borderId="70" xfId="0" applyFont="1" applyFill="1" applyBorder="1" applyAlignment="1">
      <alignment horizontal="left" vertical="center"/>
    </xf>
    <xf numFmtId="0" fontId="16" fillId="9" borderId="75" xfId="0" applyFont="1" applyFill="1" applyBorder="1" applyAlignment="1">
      <alignment horizontal="left" vertical="center"/>
    </xf>
    <xf numFmtId="0" fontId="16" fillId="0" borderId="85" xfId="0" applyFont="1" applyBorder="1" applyAlignment="1">
      <alignment horizontal="left" vertical="center"/>
    </xf>
    <xf numFmtId="0" fontId="16" fillId="0" borderId="98" xfId="0" applyFont="1" applyBorder="1" applyAlignment="1">
      <alignment horizontal="left" vertical="center"/>
    </xf>
    <xf numFmtId="0" fontId="16" fillId="0" borderId="78" xfId="0" applyFont="1" applyBorder="1" applyAlignment="1">
      <alignment horizontal="left" vertical="center"/>
    </xf>
    <xf numFmtId="0" fontId="16" fillId="0" borderId="66" xfId="0" applyFont="1" applyBorder="1" applyAlignment="1">
      <alignment horizontal="left" vertical="center"/>
    </xf>
    <xf numFmtId="0" fontId="16" fillId="0" borderId="95" xfId="0" applyFont="1" applyBorder="1" applyAlignment="1">
      <alignment horizontal="left" vertical="center"/>
    </xf>
    <xf numFmtId="0" fontId="16" fillId="0" borderId="70" xfId="0" applyFont="1" applyBorder="1" applyAlignment="1">
      <alignment horizontal="left" vertical="center"/>
    </xf>
    <xf numFmtId="0" fontId="7" fillId="0" borderId="26" xfId="0" applyFont="1" applyBorder="1" applyAlignment="1">
      <alignment horizontal="left" vertical="center" wrapText="1"/>
    </xf>
    <xf numFmtId="0" fontId="7" fillId="0" borderId="0" xfId="0" applyFont="1" applyAlignment="1">
      <alignment horizontal="left" vertical="center" wrapText="1"/>
    </xf>
    <xf numFmtId="0" fontId="7" fillId="0" borderId="28" xfId="0" applyFont="1" applyBorder="1" applyAlignment="1">
      <alignment horizontal="left" vertical="center" wrapText="1"/>
    </xf>
    <xf numFmtId="0" fontId="7" fillId="0" borderId="3" xfId="0" applyFont="1" applyBorder="1" applyAlignment="1">
      <alignment horizontal="left" vertical="center" wrapText="1"/>
    </xf>
    <xf numFmtId="0" fontId="16" fillId="0" borderId="157" xfId="0" applyFont="1" applyBorder="1" applyAlignment="1">
      <alignment horizontal="left" vertical="center"/>
    </xf>
    <xf numFmtId="0" fontId="16" fillId="0" borderId="3" xfId="0" applyFont="1" applyBorder="1" applyAlignment="1">
      <alignment horizontal="left" vertical="center"/>
    </xf>
    <xf numFmtId="0" fontId="16" fillId="0" borderId="29" xfId="0" applyFont="1" applyBorder="1" applyAlignment="1">
      <alignment horizontal="left" vertical="center"/>
    </xf>
    <xf numFmtId="0" fontId="16" fillId="0" borderId="81"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7" fillId="0" borderId="175" xfId="0" applyFont="1" applyBorder="1" applyAlignment="1">
      <alignment vertical="center" wrapText="1"/>
    </xf>
    <xf numFmtId="0" fontId="7" fillId="0" borderId="176" xfId="0" applyFont="1" applyBorder="1" applyAlignment="1">
      <alignment vertical="center" wrapText="1"/>
    </xf>
    <xf numFmtId="0" fontId="7" fillId="0" borderId="166" xfId="0" applyFont="1" applyBorder="1" applyAlignment="1">
      <alignment vertical="center" wrapText="1"/>
    </xf>
    <xf numFmtId="0" fontId="8" fillId="0" borderId="174" xfId="0" applyFont="1" applyBorder="1" applyAlignment="1">
      <alignment vertical="center"/>
    </xf>
    <xf numFmtId="0" fontId="8" fillId="0" borderId="175" xfId="0" applyFont="1" applyBorder="1" applyAlignment="1">
      <alignment vertical="center"/>
    </xf>
    <xf numFmtId="0" fontId="8" fillId="0" borderId="164" xfId="0" applyFont="1" applyBorder="1" applyAlignment="1">
      <alignment vertical="center"/>
    </xf>
    <xf numFmtId="0" fontId="8" fillId="0" borderId="165" xfId="0" applyFont="1" applyBorder="1" applyAlignment="1">
      <alignment vertical="center"/>
    </xf>
    <xf numFmtId="0" fontId="7" fillId="9" borderId="177" xfId="0" applyFont="1" applyFill="1" applyBorder="1" applyAlignment="1">
      <alignment vertical="center" wrapText="1"/>
    </xf>
    <xf numFmtId="0" fontId="7" fillId="9" borderId="178" xfId="0" applyFont="1" applyFill="1" applyBorder="1" applyAlignment="1">
      <alignment vertical="center" wrapText="1"/>
    </xf>
    <xf numFmtId="0" fontId="7" fillId="9" borderId="157" xfId="0" applyFont="1" applyFill="1" applyBorder="1" applyAlignment="1">
      <alignment vertical="center" wrapText="1"/>
    </xf>
    <xf numFmtId="0" fontId="7" fillId="9" borderId="29" xfId="0" applyFont="1" applyFill="1" applyBorder="1" applyAlignment="1">
      <alignment vertical="center" wrapText="1"/>
    </xf>
    <xf numFmtId="0" fontId="8" fillId="9" borderId="170" xfId="0" applyFont="1" applyFill="1" applyBorder="1" applyAlignment="1">
      <alignment vertical="center"/>
    </xf>
    <xf numFmtId="0" fontId="8" fillId="9" borderId="132" xfId="0" applyFont="1" applyFill="1" applyBorder="1" applyAlignment="1">
      <alignment vertical="center"/>
    </xf>
    <xf numFmtId="0" fontId="8" fillId="9" borderId="171" xfId="0" applyFont="1" applyFill="1" applyBorder="1" applyAlignment="1">
      <alignment vertical="center"/>
    </xf>
    <xf numFmtId="0" fontId="8" fillId="9" borderId="28" xfId="0" applyFont="1" applyFill="1" applyBorder="1" applyAlignment="1">
      <alignment vertical="center"/>
    </xf>
    <xf numFmtId="0" fontId="8" fillId="9" borderId="3" xfId="0" applyFont="1" applyFill="1" applyBorder="1" applyAlignment="1">
      <alignment vertical="center"/>
    </xf>
    <xf numFmtId="0" fontId="8" fillId="9" borderId="169" xfId="0" applyFont="1" applyFill="1" applyBorder="1" applyAlignment="1">
      <alignment vertical="center"/>
    </xf>
    <xf numFmtId="0" fontId="8" fillId="0" borderId="110" xfId="0" applyFont="1" applyBorder="1" applyAlignment="1">
      <alignment vertical="center" wrapText="1"/>
    </xf>
    <xf numFmtId="0" fontId="8" fillId="0" borderId="111" xfId="0" applyFont="1" applyBorder="1" applyAlignment="1">
      <alignment vertical="center" wrapText="1"/>
    </xf>
    <xf numFmtId="0" fontId="8" fillId="0" borderId="50" xfId="0" applyFont="1" applyBorder="1" applyAlignment="1">
      <alignment vertical="center" wrapText="1"/>
    </xf>
    <xf numFmtId="0" fontId="7" fillId="0" borderId="30" xfId="0" applyFont="1" applyBorder="1" applyAlignment="1">
      <alignment vertical="center" wrapText="1"/>
    </xf>
    <xf numFmtId="0" fontId="7" fillId="0" borderId="74" xfId="0" applyFont="1" applyBorder="1" applyAlignment="1">
      <alignment vertical="center" wrapText="1"/>
    </xf>
    <xf numFmtId="0" fontId="7" fillId="0" borderId="10" xfId="0" applyFont="1" applyBorder="1" applyAlignment="1">
      <alignment vertical="center" wrapText="1"/>
    </xf>
    <xf numFmtId="0" fontId="7" fillId="0" borderId="76" xfId="0" applyFont="1" applyBorder="1" applyAlignment="1">
      <alignment vertical="center" wrapText="1"/>
    </xf>
    <xf numFmtId="0" fontId="7" fillId="0" borderId="26" xfId="0" applyFont="1" applyBorder="1" applyAlignment="1">
      <alignment vertical="center" wrapText="1"/>
    </xf>
    <xf numFmtId="0" fontId="7" fillId="0" borderId="168" xfId="0" applyFont="1" applyBorder="1" applyAlignment="1">
      <alignment vertical="center" wrapText="1"/>
    </xf>
    <xf numFmtId="0" fontId="7" fillId="0" borderId="99" xfId="0" applyFont="1" applyBorder="1" applyAlignment="1">
      <alignment vertical="center" wrapText="1"/>
    </xf>
    <xf numFmtId="0" fontId="7" fillId="0" borderId="75" xfId="0" applyFont="1" applyBorder="1" applyAlignment="1">
      <alignment vertical="center" wrapText="1"/>
    </xf>
    <xf numFmtId="0" fontId="7" fillId="0" borderId="28" xfId="0" applyFont="1" applyBorder="1" applyAlignment="1">
      <alignment vertical="center" wrapText="1"/>
    </xf>
    <xf numFmtId="0" fontId="7" fillId="0" borderId="169" xfId="0" applyFont="1" applyBorder="1" applyAlignment="1">
      <alignment vertical="center" wrapText="1"/>
    </xf>
    <xf numFmtId="0" fontId="7" fillId="0" borderId="9" xfId="0" applyFont="1" applyBorder="1" applyAlignment="1">
      <alignment vertical="center" wrapText="1"/>
    </xf>
    <xf numFmtId="0" fontId="7" fillId="0" borderId="107" xfId="0" applyFont="1" applyBorder="1" applyAlignment="1">
      <alignment vertical="center" wrapText="1"/>
    </xf>
    <xf numFmtId="0" fontId="16" fillId="0" borderId="115" xfId="0" applyFont="1" applyBorder="1" applyAlignment="1">
      <alignment vertical="center"/>
    </xf>
    <xf numFmtId="0" fontId="16" fillId="0" borderId="173" xfId="0" applyFont="1" applyBorder="1" applyAlignment="1">
      <alignment vertical="center"/>
    </xf>
    <xf numFmtId="0" fontId="16" fillId="0" borderId="149" xfId="0" applyFont="1" applyBorder="1" applyAlignment="1">
      <alignment vertical="center"/>
    </xf>
    <xf numFmtId="0" fontId="16" fillId="0" borderId="172" xfId="0" applyFont="1" applyBorder="1" applyAlignment="1">
      <alignment vertical="center"/>
    </xf>
    <xf numFmtId="0" fontId="16" fillId="0" borderId="142" xfId="0" applyFont="1" applyBorder="1" applyAlignment="1">
      <alignment vertical="center"/>
    </xf>
    <xf numFmtId="0" fontId="16" fillId="0" borderId="167" xfId="0" applyFont="1" applyBorder="1" applyAlignment="1">
      <alignment vertical="center"/>
    </xf>
    <xf numFmtId="0" fontId="7" fillId="9" borderId="158" xfId="0" applyFont="1" applyFill="1" applyBorder="1" applyAlignment="1">
      <alignment vertical="center" wrapText="1"/>
    </xf>
    <xf numFmtId="0" fontId="7" fillId="9" borderId="162" xfId="0" applyFont="1" applyFill="1" applyBorder="1" applyAlignment="1">
      <alignment vertical="center" wrapText="1"/>
    </xf>
    <xf numFmtId="0" fontId="16" fillId="0" borderId="143" xfId="0" applyFont="1" applyBorder="1" applyAlignment="1">
      <alignment vertical="center"/>
    </xf>
    <xf numFmtId="0" fontId="16" fillId="0" borderId="51" xfId="0" applyFont="1" applyBorder="1" applyAlignment="1">
      <alignment vertical="center"/>
    </xf>
    <xf numFmtId="0" fontId="0" fillId="0" borderId="124" xfId="0" applyBorder="1" applyAlignment="1" applyProtection="1">
      <alignment horizontal="left" vertical="center"/>
      <protection locked="0"/>
    </xf>
    <xf numFmtId="0" fontId="0" fillId="0" borderId="14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123"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37" fillId="7" borderId="28" xfId="0" applyFont="1" applyFill="1" applyBorder="1" applyAlignment="1">
      <alignment horizontal="left" vertical="center" wrapText="1"/>
    </xf>
    <xf numFmtId="0" fontId="37" fillId="7" borderId="3" xfId="0" applyFont="1" applyFill="1" applyBorder="1" applyAlignment="1">
      <alignment horizontal="left" vertical="center" wrapText="1"/>
    </xf>
    <xf numFmtId="0" fontId="37" fillId="7" borderId="20" xfId="0" applyFont="1" applyFill="1" applyBorder="1" applyAlignment="1">
      <alignment horizontal="left" vertical="center" wrapText="1"/>
    </xf>
    <xf numFmtId="0" fontId="37" fillId="7" borderId="22" xfId="0" applyFont="1" applyFill="1" applyBorder="1" applyAlignment="1">
      <alignment horizontal="left" vertical="center" wrapText="1"/>
    </xf>
    <xf numFmtId="0" fontId="7" fillId="0" borderId="67" xfId="0" applyFont="1" applyBorder="1" applyAlignment="1">
      <alignment vertical="center" wrapText="1"/>
    </xf>
    <xf numFmtId="0" fontId="7" fillId="0" borderId="87" xfId="0" applyFont="1" applyBorder="1" applyAlignment="1">
      <alignment vertical="center" wrapText="1"/>
    </xf>
    <xf numFmtId="0" fontId="16" fillId="0" borderId="68" xfId="0" applyFont="1" applyBorder="1" applyAlignment="1">
      <alignment vertical="center"/>
    </xf>
    <xf numFmtId="0" fontId="16" fillId="0" borderId="94" xfId="0" applyFont="1" applyBorder="1" applyAlignment="1">
      <alignment vertical="center"/>
    </xf>
    <xf numFmtId="0" fontId="7" fillId="0" borderId="83" xfId="0" applyFont="1" applyBorder="1" applyAlignment="1">
      <alignment horizontal="left" vertical="center" wrapText="1"/>
    </xf>
    <xf numFmtId="0" fontId="7" fillId="0" borderId="67" xfId="0" applyFont="1" applyBorder="1" applyAlignment="1">
      <alignment horizontal="left" vertical="center" wrapText="1"/>
    </xf>
    <xf numFmtId="0" fontId="7" fillId="0" borderId="87" xfId="0" applyFont="1" applyBorder="1" applyAlignment="1">
      <alignment horizontal="left" vertical="center" wrapText="1"/>
    </xf>
    <xf numFmtId="0" fontId="7" fillId="0" borderId="102" xfId="0" applyFont="1" applyBorder="1" applyAlignment="1">
      <alignment horizontal="right" vertical="center"/>
    </xf>
    <xf numFmtId="0" fontId="7" fillId="0" borderId="105" xfId="0" applyFont="1" applyBorder="1" applyAlignment="1">
      <alignment horizontal="right" vertical="center"/>
    </xf>
    <xf numFmtId="0" fontId="7" fillId="0" borderId="100" xfId="0" applyFont="1" applyBorder="1" applyAlignment="1">
      <alignment horizontal="right" vertical="center"/>
    </xf>
    <xf numFmtId="49" fontId="16" fillId="0" borderId="102" xfId="0" applyNumberFormat="1" applyFont="1" applyBorder="1" applyAlignment="1" applyProtection="1">
      <alignment horizontal="center" vertical="center"/>
      <protection locked="0"/>
    </xf>
    <xf numFmtId="49" fontId="16" fillId="0" borderId="103" xfId="0" applyNumberFormat="1" applyFont="1" applyBorder="1" applyAlignment="1" applyProtection="1">
      <alignment horizontal="center" vertical="center"/>
      <protection locked="0"/>
    </xf>
    <xf numFmtId="49" fontId="16" fillId="0" borderId="124" xfId="0" applyNumberFormat="1" applyFont="1" applyBorder="1" applyAlignment="1" applyProtection="1">
      <alignment horizontal="center" vertical="center"/>
      <protection locked="0"/>
    </xf>
    <xf numFmtId="49" fontId="16" fillId="0" borderId="51" xfId="0" applyNumberFormat="1" applyFont="1" applyBorder="1" applyAlignment="1" applyProtection="1">
      <alignment horizontal="center" vertical="center"/>
      <protection locked="0"/>
    </xf>
    <xf numFmtId="49" fontId="16" fillId="0" borderId="100" xfId="0" applyNumberFormat="1" applyFont="1" applyBorder="1" applyAlignment="1" applyProtection="1">
      <alignment horizontal="center" vertical="center"/>
      <protection locked="0"/>
    </xf>
    <xf numFmtId="49" fontId="16" fillId="0" borderId="101" xfId="0" applyNumberFormat="1" applyFont="1" applyBorder="1" applyAlignment="1" applyProtection="1">
      <alignment horizontal="center" vertical="center"/>
      <protection locked="0"/>
    </xf>
    <xf numFmtId="0" fontId="7" fillId="9" borderId="158"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62" xfId="0" applyFont="1" applyFill="1" applyBorder="1" applyAlignment="1">
      <alignment horizontal="left" vertical="center" wrapText="1"/>
    </xf>
    <xf numFmtId="0" fontId="7" fillId="9" borderId="163" xfId="0" applyFont="1" applyFill="1" applyBorder="1" applyAlignment="1">
      <alignment horizontal="left" vertical="center" wrapText="1"/>
    </xf>
    <xf numFmtId="0" fontId="8" fillId="0" borderId="0" xfId="0" applyFont="1" applyAlignment="1">
      <alignment vertical="center"/>
    </xf>
    <xf numFmtId="0" fontId="16" fillId="0" borderId="123" xfId="0"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0" fontId="16" fillId="0" borderId="108" xfId="0" applyFont="1" applyBorder="1" applyAlignment="1" applyProtection="1">
      <alignment horizontal="left" vertical="top"/>
      <protection locked="0"/>
    </xf>
    <xf numFmtId="0" fontId="16" fillId="0" borderId="109" xfId="0" applyFont="1" applyBorder="1" applyAlignment="1" applyProtection="1">
      <alignment horizontal="left" vertical="top"/>
      <protection locked="0"/>
    </xf>
    <xf numFmtId="0" fontId="16" fillId="0" borderId="100" xfId="0" applyFont="1" applyBorder="1" applyAlignment="1" applyProtection="1">
      <alignment horizontal="center" vertical="center"/>
      <protection locked="0"/>
    </xf>
    <xf numFmtId="0" fontId="16" fillId="0" borderId="101" xfId="0" applyFont="1" applyBorder="1" applyAlignment="1" applyProtection="1">
      <alignment horizontal="center" vertical="center"/>
      <protection locked="0"/>
    </xf>
    <xf numFmtId="0" fontId="16" fillId="0" borderId="105" xfId="0" applyFont="1" applyBorder="1" applyAlignment="1" applyProtection="1">
      <alignment horizontal="center" vertical="center"/>
      <protection locked="0"/>
    </xf>
    <xf numFmtId="0" fontId="16" fillId="0" borderId="106" xfId="0" applyFont="1" applyBorder="1" applyAlignment="1" applyProtection="1">
      <alignment horizontal="center" vertical="center"/>
      <protection locked="0"/>
    </xf>
    <xf numFmtId="0" fontId="16" fillId="19" borderId="122" xfId="0" applyFont="1" applyFill="1" applyBorder="1"/>
    <xf numFmtId="0" fontId="16" fillId="19" borderId="116" xfId="0" applyFont="1" applyFill="1" applyBorder="1"/>
    <xf numFmtId="0" fontId="16" fillId="19" borderId="49" xfId="0" applyFont="1" applyFill="1" applyBorder="1"/>
    <xf numFmtId="0" fontId="16" fillId="11" borderId="196" xfId="0" applyFont="1" applyFill="1" applyBorder="1" applyAlignment="1">
      <alignment horizontal="center" vertical="center" wrapText="1"/>
    </xf>
    <xf numFmtId="0" fontId="16" fillId="11" borderId="85" xfId="0" applyFont="1" applyFill="1" applyBorder="1" applyAlignment="1">
      <alignment horizontal="center" vertical="center" wrapText="1"/>
    </xf>
    <xf numFmtId="0" fontId="16" fillId="11" borderId="193" xfId="0" applyFont="1" applyFill="1" applyBorder="1" applyAlignment="1">
      <alignment horizontal="center" vertical="center" wrapText="1"/>
    </xf>
    <xf numFmtId="0" fontId="16" fillId="11" borderId="0" xfId="0" applyFont="1" applyFill="1" applyAlignment="1">
      <alignment horizontal="center" vertical="center" wrapText="1"/>
    </xf>
    <xf numFmtId="0" fontId="16" fillId="19" borderId="128" xfId="0" applyFont="1" applyFill="1" applyBorder="1" applyAlignment="1">
      <alignment vertical="center" wrapText="1"/>
    </xf>
    <xf numFmtId="0" fontId="16" fillId="19" borderId="132" xfId="0" applyFont="1" applyFill="1" applyBorder="1" applyAlignment="1">
      <alignment vertical="center" wrapText="1"/>
    </xf>
    <xf numFmtId="0" fontId="16" fillId="19" borderId="194" xfId="0" applyFont="1" applyFill="1" applyBorder="1" applyAlignment="1">
      <alignment vertical="center" wrapText="1"/>
    </xf>
    <xf numFmtId="0" fontId="16" fillId="19" borderId="64" xfId="0" applyFont="1" applyFill="1" applyBorder="1" applyAlignment="1">
      <alignment vertical="center" wrapText="1"/>
    </xf>
    <xf numFmtId="0" fontId="16" fillId="19" borderId="3" xfId="0" applyFont="1" applyFill="1" applyBorder="1" applyAlignment="1">
      <alignment vertical="center" wrapText="1"/>
    </xf>
    <xf numFmtId="0" fontId="16" fillId="19" borderId="34" xfId="0" applyFont="1" applyFill="1" applyBorder="1" applyAlignment="1">
      <alignment vertical="center" wrapText="1"/>
    </xf>
    <xf numFmtId="181" fontId="40" fillId="19" borderId="195" xfId="0" applyNumberFormat="1" applyFont="1" applyFill="1" applyBorder="1" applyAlignment="1">
      <alignment horizontal="center" vertical="center"/>
    </xf>
    <xf numFmtId="181" fontId="40" fillId="19" borderId="192" xfId="0" applyNumberFormat="1" applyFont="1" applyFill="1" applyBorder="1" applyAlignment="1">
      <alignment horizontal="center" vertical="center"/>
    </xf>
    <xf numFmtId="181" fontId="40" fillId="19" borderId="34" xfId="0" applyNumberFormat="1" applyFont="1" applyFill="1" applyBorder="1" applyAlignment="1">
      <alignment horizontal="center" vertical="center"/>
    </xf>
    <xf numFmtId="0" fontId="16" fillId="19" borderId="69" xfId="0" applyFont="1" applyFill="1" applyBorder="1"/>
    <xf numFmtId="0" fontId="16" fillId="19" borderId="68" xfId="0" applyFont="1" applyFill="1" applyBorder="1"/>
    <xf numFmtId="181" fontId="40" fillId="19" borderId="206" xfId="0" applyNumberFormat="1" applyFont="1" applyFill="1" applyBorder="1" applyAlignment="1">
      <alignment horizontal="center" vertical="center"/>
    </xf>
    <xf numFmtId="0" fontId="16" fillId="19" borderId="202" xfId="0" applyFont="1" applyFill="1" applyBorder="1" applyAlignment="1">
      <alignment vertical="center" wrapText="1"/>
    </xf>
    <xf numFmtId="0" fontId="16" fillId="19" borderId="56" xfId="0" applyFont="1" applyFill="1" applyBorder="1" applyAlignment="1">
      <alignment vertical="center" wrapText="1"/>
    </xf>
    <xf numFmtId="0" fontId="16" fillId="19" borderId="206" xfId="0" applyFont="1" applyFill="1" applyBorder="1" applyAlignment="1">
      <alignment vertical="center" wrapText="1"/>
    </xf>
    <xf numFmtId="0" fontId="16" fillId="19" borderId="198" xfId="0" applyFont="1" applyFill="1" applyBorder="1"/>
    <xf numFmtId="0" fontId="16" fillId="19" borderId="199" xfId="0" applyFont="1" applyFill="1" applyBorder="1"/>
    <xf numFmtId="181" fontId="40" fillId="19" borderId="195" xfId="0" applyNumberFormat="1" applyFont="1" applyFill="1" applyBorder="1" applyAlignment="1">
      <alignment horizontal="center" vertical="center" wrapText="1"/>
    </xf>
    <xf numFmtId="181" fontId="40" fillId="19" borderId="192" xfId="0" applyNumberFormat="1" applyFont="1" applyFill="1" applyBorder="1" applyAlignment="1">
      <alignment horizontal="center" vertical="center" wrapText="1"/>
    </xf>
    <xf numFmtId="181" fontId="40" fillId="19" borderId="34" xfId="0" applyNumberFormat="1" applyFont="1" applyFill="1" applyBorder="1" applyAlignment="1">
      <alignment horizontal="center" vertical="center" wrapText="1"/>
    </xf>
    <xf numFmtId="181" fontId="40" fillId="19" borderId="206" xfId="0" applyNumberFormat="1" applyFont="1" applyFill="1" applyBorder="1" applyAlignment="1">
      <alignment horizontal="center" vertical="center" wrapText="1"/>
    </xf>
    <xf numFmtId="0" fontId="16" fillId="19" borderId="145" xfId="0" applyFont="1" applyFill="1" applyBorder="1"/>
    <xf numFmtId="0" fontId="16" fillId="19" borderId="146" xfId="0" applyFont="1" applyFill="1" applyBorder="1"/>
    <xf numFmtId="0" fontId="16" fillId="19" borderId="121" xfId="0" applyFont="1" applyFill="1" applyBorder="1"/>
    <xf numFmtId="0" fontId="16" fillId="19" borderId="143" xfId="0" applyFont="1" applyFill="1" applyBorder="1"/>
    <xf numFmtId="0" fontId="16" fillId="19" borderId="45" xfId="0" applyFont="1" applyFill="1" applyBorder="1"/>
    <xf numFmtId="0" fontId="16" fillId="19" borderId="203" xfId="0" applyFont="1" applyFill="1" applyBorder="1"/>
    <xf numFmtId="0" fontId="16" fillId="19" borderId="204" xfId="0" applyFont="1" applyFill="1" applyBorder="1"/>
    <xf numFmtId="0" fontId="16" fillId="19" borderId="205" xfId="0" applyFont="1" applyFill="1" applyBorder="1"/>
    <xf numFmtId="181" fontId="40" fillId="19" borderId="61" xfId="0" applyNumberFormat="1" applyFont="1" applyFill="1" applyBorder="1" applyAlignment="1">
      <alignment horizontal="center" vertical="center" wrapText="1"/>
    </xf>
    <xf numFmtId="0" fontId="16" fillId="19" borderId="56" xfId="0" applyFont="1" applyFill="1" applyBorder="1"/>
    <xf numFmtId="0" fontId="16" fillId="19" borderId="3" xfId="0" applyFont="1" applyFill="1" applyBorder="1"/>
    <xf numFmtId="0" fontId="16" fillId="19" borderId="0" xfId="0" applyFont="1" applyFill="1" applyAlignment="1">
      <alignment vertical="center" wrapText="1"/>
    </xf>
    <xf numFmtId="49" fontId="66" fillId="19" borderId="110" xfId="0" applyNumberFormat="1" applyFont="1" applyFill="1" applyBorder="1" applyAlignment="1">
      <alignment horizontal="left" vertical="center" wrapText="1"/>
    </xf>
    <xf numFmtId="49" fontId="66" fillId="19" borderId="111" xfId="0" applyNumberFormat="1" applyFont="1" applyFill="1" applyBorder="1" applyAlignment="1">
      <alignment horizontal="left" vertical="center" wrapText="1"/>
    </xf>
    <xf numFmtId="49" fontId="66" fillId="19" borderId="50" xfId="0" applyNumberFormat="1" applyFont="1" applyFill="1" applyBorder="1" applyAlignment="1">
      <alignment horizontal="left" vertical="center" wrapText="1"/>
    </xf>
    <xf numFmtId="0" fontId="16" fillId="11" borderId="26" xfId="0" applyFont="1" applyFill="1" applyBorder="1" applyAlignment="1">
      <alignment horizontal="left" vertical="center" wrapText="1"/>
    </xf>
    <xf numFmtId="0" fontId="16" fillId="11" borderId="0" xfId="0" applyFont="1" applyFill="1" applyAlignment="1">
      <alignment horizontal="left" vertical="center" wrapText="1"/>
    </xf>
    <xf numFmtId="0" fontId="7" fillId="19" borderId="59" xfId="0" applyFont="1" applyFill="1" applyBorder="1" applyAlignment="1">
      <alignment horizontal="center" vertical="center" wrapText="1"/>
    </xf>
    <xf numFmtId="0" fontId="7" fillId="19" borderId="60" xfId="0" applyFont="1" applyFill="1" applyBorder="1" applyAlignment="1">
      <alignment horizontal="center" vertical="center" wrapText="1"/>
    </xf>
    <xf numFmtId="0" fontId="66" fillId="11" borderId="110" xfId="0" applyFont="1" applyFill="1" applyBorder="1" applyAlignment="1">
      <alignment horizontal="left" vertical="center" wrapText="1"/>
    </xf>
    <xf numFmtId="0" fontId="66" fillId="11" borderId="111" xfId="0" applyFont="1" applyFill="1" applyBorder="1" applyAlignment="1">
      <alignment horizontal="left" vertical="center" wrapText="1"/>
    </xf>
    <xf numFmtId="0" fontId="66" fillId="11" borderId="50" xfId="0" applyFont="1" applyFill="1" applyBorder="1" applyAlignment="1">
      <alignment horizontal="left" vertical="center" wrapText="1"/>
    </xf>
    <xf numFmtId="0" fontId="16" fillId="11" borderId="3" xfId="0" applyFont="1" applyFill="1" applyBorder="1" applyAlignment="1">
      <alignment horizontal="left" vertical="center" wrapText="1"/>
    </xf>
    <xf numFmtId="0" fontId="40" fillId="12" borderId="20" xfId="0" applyFont="1" applyFill="1" applyBorder="1" applyAlignment="1">
      <alignment horizontal="center" vertical="center"/>
    </xf>
    <xf numFmtId="0" fontId="16" fillId="11" borderId="132" xfId="0" applyFont="1" applyFill="1" applyBorder="1" applyAlignment="1">
      <alignment vertical="center"/>
    </xf>
    <xf numFmtId="0" fontId="29" fillId="0" borderId="0" xfId="0" applyFont="1" applyAlignment="1">
      <alignment horizontal="left" vertical="center"/>
    </xf>
    <xf numFmtId="0" fontId="7" fillId="19" borderId="19" xfId="0" applyFont="1" applyFill="1" applyBorder="1" applyAlignment="1">
      <alignment horizontal="center" vertical="center" wrapText="1"/>
    </xf>
    <xf numFmtId="0" fontId="7" fillId="19" borderId="22" xfId="0" applyFont="1" applyFill="1" applyBorder="1" applyAlignment="1">
      <alignment horizontal="center" vertical="center" wrapText="1"/>
    </xf>
    <xf numFmtId="0" fontId="7" fillId="19" borderId="59" xfId="0" applyFont="1" applyFill="1" applyBorder="1" applyAlignment="1">
      <alignment horizontal="center" vertical="center"/>
    </xf>
    <xf numFmtId="0" fontId="7" fillId="19" borderId="60" xfId="0" applyFont="1" applyFill="1" applyBorder="1" applyAlignment="1">
      <alignment horizontal="center" vertical="center"/>
    </xf>
    <xf numFmtId="0" fontId="7" fillId="0" borderId="3" xfId="0" applyFont="1" applyBorder="1" applyAlignment="1">
      <alignment horizontal="left" vertical="center"/>
    </xf>
    <xf numFmtId="0" fontId="16" fillId="11" borderId="67" xfId="0" applyFont="1" applyFill="1" applyBorder="1" applyAlignment="1">
      <alignment vertical="center" wrapText="1"/>
    </xf>
    <xf numFmtId="0" fontId="35" fillId="12" borderId="20" xfId="0" applyFont="1" applyFill="1" applyBorder="1" applyAlignment="1">
      <alignment vertical="center"/>
    </xf>
    <xf numFmtId="0" fontId="7" fillId="11" borderId="19" xfId="0" applyFont="1" applyFill="1" applyBorder="1" applyAlignment="1">
      <alignment horizontal="center" vertical="center" wrapText="1"/>
    </xf>
    <xf numFmtId="0" fontId="7" fillId="11" borderId="22" xfId="0" applyFont="1" applyFill="1" applyBorder="1" applyAlignment="1">
      <alignment horizontal="center" vertical="center" wrapText="1"/>
    </xf>
    <xf numFmtId="0" fontId="7" fillId="11" borderId="59" xfId="0" applyFont="1" applyFill="1" applyBorder="1" applyAlignment="1">
      <alignment horizontal="center" vertical="center" wrapText="1"/>
    </xf>
    <xf numFmtId="0" fontId="7" fillId="11" borderId="60" xfId="0" applyFont="1" applyFill="1" applyBorder="1" applyAlignment="1">
      <alignment horizontal="center" vertical="center" wrapText="1"/>
    </xf>
    <xf numFmtId="0" fontId="7" fillId="11" borderId="59" xfId="0" applyFont="1" applyFill="1" applyBorder="1" applyAlignment="1">
      <alignment horizontal="center" vertical="center"/>
    </xf>
    <xf numFmtId="0" fontId="7" fillId="11" borderId="60" xfId="0" applyFont="1" applyFill="1" applyBorder="1" applyAlignment="1">
      <alignment horizontal="center" vertical="center"/>
    </xf>
    <xf numFmtId="0" fontId="16" fillId="19" borderId="0" xfId="0" applyFont="1" applyFill="1" applyAlignment="1">
      <alignment vertical="center"/>
    </xf>
    <xf numFmtId="0" fontId="16" fillId="19" borderId="27" xfId="0" applyFont="1" applyFill="1" applyBorder="1" applyAlignment="1">
      <alignment vertical="center"/>
    </xf>
    <xf numFmtId="0" fontId="16" fillId="19" borderId="66" xfId="0" applyFont="1" applyFill="1" applyBorder="1" applyAlignment="1">
      <alignment vertical="center" wrapText="1"/>
    </xf>
    <xf numFmtId="0" fontId="16" fillId="19" borderId="95" xfId="0" applyFont="1" applyFill="1" applyBorder="1" applyAlignment="1">
      <alignment vertical="center" wrapText="1"/>
    </xf>
    <xf numFmtId="0" fontId="41" fillId="19" borderId="208" xfId="0" applyFont="1" applyFill="1" applyBorder="1" applyAlignment="1">
      <alignment vertical="center" wrapText="1"/>
    </xf>
    <xf numFmtId="175" fontId="62" fillId="3" borderId="213" xfId="0" applyNumberFormat="1" applyFont="1" applyFill="1" applyBorder="1" applyAlignment="1">
      <alignment horizontal="left" vertical="center"/>
    </xf>
    <xf numFmtId="175" fontId="62" fillId="3" borderId="210" xfId="0" applyNumberFormat="1" applyFont="1" applyFill="1" applyBorder="1" applyAlignment="1">
      <alignment horizontal="left" vertical="center"/>
    </xf>
    <xf numFmtId="175" fontId="62" fillId="3" borderId="55" xfId="0" applyNumberFormat="1" applyFont="1" applyFill="1" applyBorder="1" applyAlignment="1">
      <alignment horizontal="left" vertical="center"/>
    </xf>
    <xf numFmtId="175" fontId="62" fillId="3" borderId="56" xfId="0" applyNumberFormat="1" applyFont="1" applyFill="1" applyBorder="1" applyAlignment="1">
      <alignment horizontal="left" vertical="center"/>
    </xf>
    <xf numFmtId="0" fontId="65" fillId="11" borderId="110" xfId="0" applyFont="1" applyFill="1" applyBorder="1" applyAlignment="1">
      <alignment horizontal="left" vertical="center"/>
    </xf>
    <xf numFmtId="0" fontId="65" fillId="11" borderId="111" xfId="0" applyFont="1" applyFill="1" applyBorder="1" applyAlignment="1">
      <alignment horizontal="left" vertical="center"/>
    </xf>
    <xf numFmtId="0" fontId="65" fillId="11" borderId="50" xfId="0" applyFont="1" applyFill="1" applyBorder="1" applyAlignment="1">
      <alignment horizontal="left" vertical="center"/>
    </xf>
    <xf numFmtId="167" fontId="16" fillId="7" borderId="19" xfId="0" applyNumberFormat="1" applyFont="1" applyFill="1" applyBorder="1" applyAlignment="1">
      <alignment horizontal="center" vertical="center"/>
    </xf>
    <xf numFmtId="167" fontId="16" fillId="7" borderId="22" xfId="0" applyNumberFormat="1" applyFont="1" applyFill="1" applyBorder="1" applyAlignment="1">
      <alignment horizontal="center" vertical="center"/>
    </xf>
    <xf numFmtId="0" fontId="40" fillId="12" borderId="19" xfId="0" applyFont="1" applyFill="1" applyBorder="1" applyAlignment="1">
      <alignment horizontal="center" vertical="center"/>
    </xf>
    <xf numFmtId="0" fontId="40" fillId="12" borderId="22" xfId="0" applyFont="1" applyFill="1" applyBorder="1" applyAlignment="1">
      <alignment horizontal="center" vertical="center"/>
    </xf>
    <xf numFmtId="0" fontId="16" fillId="7" borderId="23" xfId="0" applyFont="1" applyFill="1" applyBorder="1" applyAlignment="1">
      <alignment vertical="center"/>
    </xf>
    <xf numFmtId="0" fontId="16" fillId="7" borderId="25" xfId="0" applyFont="1" applyFill="1" applyBorder="1" applyAlignment="1">
      <alignment vertical="center"/>
    </xf>
    <xf numFmtId="0" fontId="16" fillId="7" borderId="28" xfId="0" applyFont="1" applyFill="1" applyBorder="1" applyAlignment="1">
      <alignment vertical="center"/>
    </xf>
    <xf numFmtId="0" fontId="16" fillId="7" borderId="29" xfId="0" applyFont="1" applyFill="1" applyBorder="1" applyAlignment="1">
      <alignmen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2" fontId="16" fillId="7" borderId="19" xfId="0" applyNumberFormat="1" applyFont="1" applyFill="1" applyBorder="1" applyAlignment="1">
      <alignment horizontal="center" vertical="center"/>
    </xf>
    <xf numFmtId="2" fontId="16" fillId="7" borderId="22" xfId="0" applyNumberFormat="1" applyFont="1" applyFill="1" applyBorder="1" applyAlignment="1">
      <alignment horizontal="center" vertical="center"/>
    </xf>
    <xf numFmtId="0" fontId="16" fillId="7" borderId="19" xfId="0" applyFont="1" applyFill="1" applyBorder="1" applyAlignment="1">
      <alignment horizontal="center" vertical="center"/>
    </xf>
    <xf numFmtId="0" fontId="16" fillId="7" borderId="22" xfId="0" applyFont="1" applyFill="1" applyBorder="1" applyAlignment="1">
      <alignment horizontal="center" vertical="center"/>
    </xf>
    <xf numFmtId="0" fontId="16" fillId="11" borderId="26" xfId="0" applyFont="1" applyFill="1" applyBorder="1" applyAlignment="1">
      <alignment vertical="center"/>
    </xf>
    <xf numFmtId="0" fontId="16" fillId="11" borderId="0" xfId="0" applyFont="1" applyFill="1" applyAlignment="1">
      <alignment vertical="center"/>
    </xf>
    <xf numFmtId="0" fontId="35" fillId="12" borderId="3" xfId="0" applyFont="1" applyFill="1" applyBorder="1" applyAlignment="1">
      <alignment vertical="center"/>
    </xf>
    <xf numFmtId="0" fontId="16" fillId="11" borderId="68" xfId="0" applyFont="1" applyFill="1" applyBorder="1" applyAlignment="1">
      <alignment vertical="center" wrapText="1"/>
    </xf>
    <xf numFmtId="0" fontId="16" fillId="11" borderId="24" xfId="0" applyFont="1" applyFill="1" applyBorder="1" applyAlignment="1">
      <alignment vertical="center" wrapText="1"/>
    </xf>
    <xf numFmtId="0" fontId="7" fillId="11" borderId="13"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7" fillId="11" borderId="61" xfId="0" applyFont="1" applyFill="1" applyBorder="1" applyAlignment="1">
      <alignment horizontal="center" vertical="center" wrapText="1"/>
    </xf>
    <xf numFmtId="0" fontId="7" fillId="11" borderId="34" xfId="0" applyFont="1" applyFill="1" applyBorder="1" applyAlignment="1">
      <alignment horizontal="center" vertical="center" wrapText="1"/>
    </xf>
    <xf numFmtId="4" fontId="20" fillId="11" borderId="65" xfId="0" applyNumberFormat="1" applyFont="1" applyFill="1" applyBorder="1" applyAlignment="1">
      <alignment horizontal="center" vertical="center" wrapText="1"/>
    </xf>
    <xf numFmtId="4" fontId="20" fillId="11" borderId="64" xfId="0" applyNumberFormat="1" applyFont="1" applyFill="1" applyBorder="1" applyAlignment="1">
      <alignment horizontal="center" vertical="center" wrapText="1"/>
    </xf>
    <xf numFmtId="4" fontId="20" fillId="11" borderId="62" xfId="0" applyNumberFormat="1" applyFont="1" applyFill="1" applyBorder="1" applyAlignment="1">
      <alignment horizontal="center" vertical="center" wrapText="1"/>
    </xf>
    <xf numFmtId="4" fontId="20" fillId="11" borderId="63" xfId="0" applyNumberFormat="1" applyFont="1" applyFill="1" applyBorder="1" applyAlignment="1">
      <alignment horizontal="center" vertical="center" wrapText="1"/>
    </xf>
    <xf numFmtId="4" fontId="20" fillId="11" borderId="0" xfId="0" applyNumberFormat="1" applyFont="1" applyFill="1" applyAlignment="1">
      <alignment horizontal="center" vertical="center" wrapText="1"/>
    </xf>
    <xf numFmtId="0" fontId="7" fillId="19" borderId="61" xfId="0" applyFont="1" applyFill="1" applyBorder="1" applyAlignment="1">
      <alignment horizontal="center" vertical="center" wrapText="1"/>
    </xf>
    <xf numFmtId="0" fontId="7" fillId="19" borderId="34" xfId="0" applyFont="1" applyFill="1" applyBorder="1" applyAlignment="1">
      <alignment horizontal="center" vertical="center" wrapText="1"/>
    </xf>
    <xf numFmtId="0" fontId="7" fillId="19" borderId="13" xfId="0" applyFont="1" applyFill="1" applyBorder="1" applyAlignment="1">
      <alignment horizontal="center" vertical="center" wrapText="1"/>
    </xf>
    <xf numFmtId="0" fontId="7" fillId="19" borderId="14" xfId="0" applyFont="1" applyFill="1" applyBorder="1" applyAlignment="1">
      <alignment horizontal="center" vertical="center" wrapText="1"/>
    </xf>
    <xf numFmtId="4" fontId="20" fillId="19" borderId="65" xfId="0" applyNumberFormat="1" applyFont="1" applyFill="1" applyBorder="1" applyAlignment="1">
      <alignment horizontal="center" vertical="center" wrapText="1"/>
    </xf>
    <xf numFmtId="4" fontId="20" fillId="19" borderId="64" xfId="0" applyNumberFormat="1" applyFont="1" applyFill="1" applyBorder="1" applyAlignment="1">
      <alignment horizontal="center" vertical="center" wrapText="1"/>
    </xf>
    <xf numFmtId="4" fontId="20" fillId="19" borderId="62" xfId="0" applyNumberFormat="1" applyFont="1" applyFill="1" applyBorder="1" applyAlignment="1">
      <alignment horizontal="center" vertical="center" wrapText="1"/>
    </xf>
    <xf numFmtId="4" fontId="20" fillId="19" borderId="63" xfId="0" applyNumberFormat="1" applyFont="1" applyFill="1" applyBorder="1" applyAlignment="1">
      <alignment horizontal="center" vertical="center" wrapText="1"/>
    </xf>
    <xf numFmtId="0" fontId="16" fillId="0" borderId="0" xfId="0" applyFont="1" applyAlignment="1">
      <alignment horizontal="left" vertical="center" wrapText="1"/>
    </xf>
    <xf numFmtId="0" fontId="16" fillId="11" borderId="143" xfId="0" applyFont="1" applyFill="1" applyBorder="1" applyAlignment="1">
      <alignment vertical="center" wrapText="1"/>
    </xf>
    <xf numFmtId="0" fontId="38" fillId="11" borderId="3" xfId="0" applyFont="1" applyFill="1" applyBorder="1" applyAlignment="1">
      <alignment horizontal="center" vertical="center" wrapText="1"/>
    </xf>
    <xf numFmtId="0" fontId="16" fillId="11" borderId="0" xfId="0" applyFont="1" applyFill="1" applyAlignment="1">
      <alignment vertical="center" wrapText="1"/>
    </xf>
    <xf numFmtId="2" fontId="16" fillId="7" borderId="23" xfId="0" applyNumberFormat="1" applyFont="1" applyFill="1" applyBorder="1" applyAlignment="1">
      <alignment horizontal="center" vertical="center"/>
    </xf>
    <xf numFmtId="2" fontId="16" fillId="7" borderId="25" xfId="0" applyNumberFormat="1" applyFont="1" applyFill="1" applyBorder="1" applyAlignment="1">
      <alignment horizontal="center" vertical="center"/>
    </xf>
    <xf numFmtId="2" fontId="16" fillId="7" borderId="28" xfId="0" applyNumberFormat="1" applyFont="1" applyFill="1" applyBorder="1" applyAlignment="1">
      <alignment horizontal="center" vertical="center"/>
    </xf>
    <xf numFmtId="2" fontId="16" fillId="7" borderId="29" xfId="0" applyNumberFormat="1" applyFont="1" applyFill="1" applyBorder="1" applyAlignment="1">
      <alignment horizontal="center" vertical="center"/>
    </xf>
    <xf numFmtId="0" fontId="16" fillId="9" borderId="59" xfId="0" applyFont="1" applyFill="1" applyBorder="1" applyAlignment="1" applyProtection="1">
      <alignment horizontal="center" vertical="center"/>
      <protection locked="0"/>
    </xf>
    <xf numFmtId="0" fontId="16" fillId="9" borderId="60" xfId="0" applyFont="1" applyFill="1" applyBorder="1" applyAlignment="1" applyProtection="1">
      <alignment horizontal="center" vertical="center"/>
      <protection locked="0"/>
    </xf>
    <xf numFmtId="0" fontId="65" fillId="19" borderId="110" xfId="0" applyFont="1" applyFill="1" applyBorder="1" applyAlignment="1">
      <alignment horizontal="left" vertical="center"/>
    </xf>
    <xf numFmtId="0" fontId="65" fillId="19" borderId="111" xfId="0" applyFont="1" applyFill="1" applyBorder="1" applyAlignment="1">
      <alignment horizontal="left" vertical="center"/>
    </xf>
    <xf numFmtId="0" fontId="65" fillId="19" borderId="50" xfId="0" applyFont="1" applyFill="1" applyBorder="1" applyAlignment="1">
      <alignment horizontal="left" vertical="center"/>
    </xf>
    <xf numFmtId="0" fontId="16" fillId="11" borderId="132" xfId="0" applyFont="1" applyFill="1" applyBorder="1" applyAlignment="1">
      <alignment horizontal="left" vertical="center" wrapText="1"/>
    </xf>
    <xf numFmtId="0" fontId="16" fillId="11" borderId="0" xfId="0" applyFont="1" applyFill="1" applyAlignment="1">
      <alignment horizontal="left" vertical="center"/>
    </xf>
    <xf numFmtId="0" fontId="16" fillId="11" borderId="143" xfId="0" applyFont="1" applyFill="1" applyBorder="1" applyAlignment="1">
      <alignment horizontal="left" vertical="center" wrapText="1"/>
    </xf>
    <xf numFmtId="0" fontId="16" fillId="11" borderId="110" xfId="0" applyFont="1" applyFill="1" applyBorder="1" applyAlignment="1">
      <alignment horizontal="center" vertical="center"/>
    </xf>
    <xf numFmtId="0" fontId="16" fillId="11" borderId="111" xfId="0" applyFont="1" applyFill="1" applyBorder="1" applyAlignment="1">
      <alignment horizontal="center" vertical="center"/>
    </xf>
    <xf numFmtId="0" fontId="16" fillId="11" borderId="50" xfId="0" applyFont="1" applyFill="1" applyBorder="1" applyAlignment="1">
      <alignment horizontal="center" vertical="center"/>
    </xf>
    <xf numFmtId="0" fontId="16" fillId="11" borderId="115" xfId="0" applyFont="1" applyFill="1" applyBorder="1" applyAlignment="1">
      <alignment horizontal="center" vertical="center"/>
    </xf>
    <xf numFmtId="0" fontId="16" fillId="11" borderId="116" xfId="0" applyFont="1" applyFill="1" applyBorder="1" applyAlignment="1">
      <alignment horizontal="center" vertical="center"/>
    </xf>
    <xf numFmtId="0" fontId="16" fillId="11" borderId="52" xfId="0" applyFont="1" applyFill="1" applyBorder="1" applyAlignment="1">
      <alignment horizontal="center" vertical="center"/>
    </xf>
    <xf numFmtId="0" fontId="45" fillId="11" borderId="24" xfId="5" applyFont="1" applyFill="1" applyBorder="1" applyAlignment="1" applyProtection="1">
      <alignment horizontal="left" vertical="center"/>
    </xf>
    <xf numFmtId="0" fontId="40" fillId="3" borderId="19" xfId="0" applyFont="1" applyFill="1" applyBorder="1" applyAlignment="1">
      <alignment horizontal="left" vertical="center"/>
    </xf>
    <xf numFmtId="0" fontId="40" fillId="3" borderId="20" xfId="0" applyFont="1" applyFill="1" applyBorder="1" applyAlignment="1">
      <alignment horizontal="left" vertical="center"/>
    </xf>
    <xf numFmtId="0" fontId="35" fillId="12" borderId="3" xfId="0" applyFont="1" applyFill="1" applyBorder="1" applyAlignment="1">
      <alignment horizontal="left" vertical="center"/>
    </xf>
    <xf numFmtId="0" fontId="16" fillId="11" borderId="19" xfId="0" applyFont="1" applyFill="1" applyBorder="1" applyAlignment="1">
      <alignment horizontal="center" vertical="center"/>
    </xf>
    <xf numFmtId="0" fontId="16" fillId="11" borderId="20" xfId="0" applyFont="1" applyFill="1" applyBorder="1" applyAlignment="1">
      <alignment horizontal="center" vertical="center"/>
    </xf>
    <xf numFmtId="0" fontId="16" fillId="11" borderId="22" xfId="0" applyFont="1" applyFill="1" applyBorder="1" applyAlignment="1">
      <alignment horizontal="center" vertical="center"/>
    </xf>
    <xf numFmtId="0" fontId="41" fillId="12" borderId="19" xfId="0" applyFont="1" applyFill="1" applyBorder="1" applyAlignment="1">
      <alignment horizontal="center" vertical="center"/>
    </xf>
    <xf numFmtId="0" fontId="41" fillId="12" borderId="20" xfId="0" applyFont="1" applyFill="1" applyBorder="1" applyAlignment="1">
      <alignment horizontal="center" vertical="center"/>
    </xf>
    <xf numFmtId="0" fontId="16" fillId="11" borderId="24" xfId="0" applyFont="1" applyFill="1" applyBorder="1" applyAlignment="1">
      <alignment horizontal="left" vertical="center" wrapText="1"/>
    </xf>
    <xf numFmtId="0" fontId="16" fillId="11" borderId="3" xfId="0" applyFont="1" applyFill="1" applyBorder="1" applyAlignment="1">
      <alignment horizontal="left" vertical="center"/>
    </xf>
    <xf numFmtId="0" fontId="16" fillId="11" borderId="116" xfId="0" applyFont="1" applyFill="1" applyBorder="1" applyAlignment="1">
      <alignment horizontal="left" vertical="center" wrapText="1"/>
    </xf>
    <xf numFmtId="0" fontId="46" fillId="11" borderId="113" xfId="5" applyFont="1" applyFill="1" applyBorder="1" applyAlignment="1" applyProtection="1">
      <alignment horizontal="left" vertical="center" wrapText="1"/>
    </xf>
    <xf numFmtId="0" fontId="16" fillId="11" borderId="111" xfId="0" applyFont="1" applyFill="1" applyBorder="1" applyAlignment="1">
      <alignment vertical="center" wrapText="1"/>
    </xf>
    <xf numFmtId="0" fontId="46" fillId="11" borderId="68" xfId="5" applyFont="1" applyFill="1" applyBorder="1" applyAlignment="1" applyProtection="1">
      <alignment horizontal="left" vertical="center" wrapText="1"/>
    </xf>
    <xf numFmtId="175" fontId="62" fillId="3" borderId="19" xfId="0" applyNumberFormat="1" applyFont="1" applyFill="1" applyBorder="1" applyAlignment="1">
      <alignment horizontal="left" vertical="center"/>
    </xf>
    <xf numFmtId="175" fontId="62" fillId="3" borderId="20" xfId="0" applyNumberFormat="1" applyFont="1" applyFill="1" applyBorder="1" applyAlignment="1">
      <alignment horizontal="left" vertical="center"/>
    </xf>
    <xf numFmtId="0" fontId="38" fillId="11" borderId="20" xfId="0" applyFont="1" applyFill="1" applyBorder="1" applyAlignment="1">
      <alignment horizontal="center" vertical="center" wrapText="1"/>
    </xf>
    <xf numFmtId="0" fontId="16" fillId="11" borderId="1" xfId="0" applyFont="1" applyFill="1" applyBorder="1" applyAlignment="1">
      <alignment vertical="center"/>
    </xf>
    <xf numFmtId="175" fontId="46" fillId="11" borderId="116" xfId="0" applyNumberFormat="1" applyFont="1" applyFill="1" applyBorder="1" applyAlignment="1">
      <alignment horizontal="left" vertical="center" wrapText="1"/>
    </xf>
    <xf numFmtId="176" fontId="16" fillId="7" borderId="19" xfId="0" applyNumberFormat="1" applyFont="1" applyFill="1" applyBorder="1" applyAlignment="1">
      <alignment horizontal="center" vertical="center"/>
    </xf>
    <xf numFmtId="176" fontId="16" fillId="7" borderId="22" xfId="0" applyNumberFormat="1" applyFont="1" applyFill="1" applyBorder="1" applyAlignment="1">
      <alignment horizontal="center" vertical="center"/>
    </xf>
    <xf numFmtId="0" fontId="69" fillId="11" borderId="0" xfId="0" applyFont="1" applyFill="1" applyAlignment="1">
      <alignment horizontal="left"/>
    </xf>
    <xf numFmtId="175" fontId="46" fillId="11" borderId="3" xfId="0" applyNumberFormat="1" applyFont="1" applyFill="1" applyBorder="1" applyAlignment="1">
      <alignment horizontal="left" vertical="center" wrapText="1"/>
    </xf>
    <xf numFmtId="175" fontId="46" fillId="11" borderId="0" xfId="0" applyNumberFormat="1" applyFont="1" applyFill="1" applyAlignment="1">
      <alignment horizontal="left" vertical="center" wrapText="1"/>
    </xf>
    <xf numFmtId="0" fontId="16" fillId="9" borderId="19"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2" fontId="16" fillId="0" borderId="19" xfId="0" applyNumberFormat="1" applyFont="1" applyBorder="1" applyAlignment="1" applyProtection="1">
      <alignment horizontal="center" vertical="center"/>
      <protection locked="0"/>
    </xf>
    <xf numFmtId="2" fontId="16" fillId="0" borderId="22" xfId="0" applyNumberFormat="1" applyFont="1" applyBorder="1" applyAlignment="1" applyProtection="1">
      <alignment horizontal="center" vertical="center"/>
      <protection locked="0"/>
    </xf>
    <xf numFmtId="2" fontId="65" fillId="11" borderId="110" xfId="0" applyNumberFormat="1" applyFont="1" applyFill="1" applyBorder="1" applyAlignment="1">
      <alignment horizontal="left" vertical="center" wrapText="1"/>
    </xf>
    <xf numFmtId="2" fontId="65" fillId="11" borderId="111" xfId="0" applyNumberFormat="1" applyFont="1" applyFill="1" applyBorder="1" applyAlignment="1">
      <alignment horizontal="left" vertical="center" wrapText="1"/>
    </xf>
    <xf numFmtId="2" fontId="65" fillId="11" borderId="50" xfId="0" applyNumberFormat="1" applyFont="1" applyFill="1" applyBorder="1" applyAlignment="1">
      <alignment horizontal="left" vertical="center" wrapText="1"/>
    </xf>
    <xf numFmtId="0" fontId="16" fillId="8" borderId="124" xfId="0" applyFont="1" applyFill="1" applyBorder="1" applyAlignment="1">
      <alignment vertical="center"/>
    </xf>
    <xf numFmtId="0" fontId="16" fillId="8" borderId="143" xfId="0" applyFont="1" applyFill="1" applyBorder="1" applyAlignment="1">
      <alignment vertical="center"/>
    </xf>
    <xf numFmtId="0" fontId="16" fillId="8" borderId="167" xfId="0" applyFont="1" applyFill="1" applyBorder="1" applyAlignment="1">
      <alignment vertical="center"/>
    </xf>
    <xf numFmtId="0" fontId="16" fillId="20" borderId="124" xfId="0" applyFont="1" applyFill="1" applyBorder="1" applyAlignment="1">
      <alignment vertical="center"/>
    </xf>
    <xf numFmtId="0" fontId="16" fillId="20" borderId="143" xfId="0" applyFont="1" applyFill="1" applyBorder="1" applyAlignment="1">
      <alignment vertical="center"/>
    </xf>
    <xf numFmtId="0" fontId="16" fillId="20" borderId="167" xfId="0" applyFont="1" applyFill="1" applyBorder="1" applyAlignment="1">
      <alignment vertical="center"/>
    </xf>
    <xf numFmtId="2" fontId="65" fillId="19" borderId="110" xfId="0" applyNumberFormat="1" applyFont="1" applyFill="1" applyBorder="1" applyAlignment="1">
      <alignment horizontal="left" vertical="center"/>
    </xf>
    <xf numFmtId="2" fontId="65" fillId="19" borderId="111" xfId="0" applyNumberFormat="1" applyFont="1" applyFill="1" applyBorder="1" applyAlignment="1">
      <alignment horizontal="left" vertical="center"/>
    </xf>
    <xf numFmtId="2" fontId="65" fillId="19" borderId="50" xfId="0" applyNumberFormat="1" applyFont="1" applyFill="1" applyBorder="1" applyAlignment="1">
      <alignment horizontal="left" vertical="center"/>
    </xf>
    <xf numFmtId="0" fontId="37" fillId="11" borderId="110" xfId="0" applyFont="1" applyFill="1" applyBorder="1" applyAlignment="1">
      <alignment horizontal="left" vertical="center" wrapText="1"/>
    </xf>
    <xf numFmtId="0" fontId="37" fillId="11" borderId="111" xfId="0" applyFont="1" applyFill="1" applyBorder="1" applyAlignment="1">
      <alignment horizontal="left" vertical="center" wrapText="1"/>
    </xf>
    <xf numFmtId="0" fontId="37" fillId="11" borderId="50" xfId="0" applyFont="1" applyFill="1" applyBorder="1" applyAlignment="1">
      <alignment horizontal="left" vertical="center" wrapText="1"/>
    </xf>
    <xf numFmtId="0" fontId="16" fillId="7" borderId="20" xfId="0" applyFont="1" applyFill="1" applyBorder="1" applyAlignment="1">
      <alignment vertical="center"/>
    </xf>
    <xf numFmtId="0" fontId="7" fillId="11" borderId="20" xfId="0" applyFont="1" applyFill="1" applyBorder="1" applyAlignment="1">
      <alignment horizontal="center" vertical="center" wrapText="1"/>
    </xf>
    <xf numFmtId="4" fontId="16" fillId="0" borderId="129" xfId="0" applyNumberFormat="1" applyFont="1" applyBorder="1" applyAlignment="1">
      <alignment horizontal="center" vertical="center" wrapText="1"/>
    </xf>
    <xf numFmtId="4" fontId="16" fillId="0" borderId="216" xfId="0" applyNumberFormat="1" applyFont="1" applyBorder="1" applyAlignment="1">
      <alignment horizontal="center" vertical="center" wrapText="1"/>
    </xf>
    <xf numFmtId="4" fontId="16" fillId="0" borderId="63" xfId="0" applyNumberFormat="1" applyFont="1" applyBorder="1" applyAlignment="1">
      <alignment horizontal="center" vertical="center" wrapText="1"/>
    </xf>
    <xf numFmtId="0" fontId="33" fillId="0" borderId="3" xfId="0" applyFont="1" applyBorder="1" applyAlignment="1">
      <alignment horizontal="left" vertical="center" wrapText="1"/>
    </xf>
    <xf numFmtId="0" fontId="29" fillId="0" borderId="0" xfId="0" applyFont="1" applyAlignment="1">
      <alignment vertical="center"/>
    </xf>
    <xf numFmtId="2" fontId="8" fillId="0" borderId="24" xfId="0" applyNumberFormat="1" applyFont="1" applyBorder="1" applyAlignment="1">
      <alignment vertical="center"/>
    </xf>
    <xf numFmtId="0" fontId="37" fillId="11" borderId="149" xfId="0" applyFont="1" applyFill="1" applyBorder="1" applyAlignment="1">
      <alignment horizontal="left" vertical="center" wrapText="1"/>
    </xf>
    <xf numFmtId="0" fontId="37" fillId="11" borderId="68" xfId="0" applyFont="1" applyFill="1" applyBorder="1" applyAlignment="1">
      <alignment horizontal="left" vertical="center" wrapText="1"/>
    </xf>
    <xf numFmtId="0" fontId="37" fillId="11" borderId="94" xfId="0" applyFont="1" applyFill="1" applyBorder="1" applyAlignment="1">
      <alignment horizontal="left" vertical="center" wrapText="1"/>
    </xf>
    <xf numFmtId="4" fontId="16" fillId="0" borderId="214" xfId="0" applyNumberFormat="1" applyFont="1" applyBorder="1" applyAlignment="1">
      <alignment horizontal="center" vertical="center" wrapText="1"/>
    </xf>
    <xf numFmtId="4" fontId="16" fillId="0" borderId="72" xfId="0" applyNumberFormat="1" applyFont="1" applyBorder="1" applyAlignment="1">
      <alignment horizontal="center" vertical="center" wrapText="1"/>
    </xf>
    <xf numFmtId="4" fontId="16" fillId="0" borderId="60" xfId="0" applyNumberFormat="1" applyFont="1" applyBorder="1" applyAlignment="1">
      <alignment horizontal="center" vertical="center" wrapText="1"/>
    </xf>
    <xf numFmtId="0" fontId="16" fillId="0" borderId="214"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60" xfId="0" applyFont="1" applyBorder="1" applyAlignment="1">
      <alignment horizontal="center" vertical="center" wrapText="1"/>
    </xf>
    <xf numFmtId="4" fontId="16" fillId="0" borderId="126" xfId="0" applyNumberFormat="1" applyFont="1" applyBorder="1" applyAlignment="1">
      <alignment horizontal="center" vertical="center" wrapText="1"/>
    </xf>
    <xf numFmtId="4" fontId="16" fillId="0" borderId="215" xfId="0" applyNumberFormat="1" applyFont="1" applyBorder="1" applyAlignment="1">
      <alignment horizontal="center" vertical="center" wrapText="1"/>
    </xf>
    <xf numFmtId="4" fontId="16" fillId="0" borderId="14" xfId="0" applyNumberFormat="1" applyFont="1" applyBorder="1" applyAlignment="1">
      <alignment horizontal="center" vertical="center" wrapText="1"/>
    </xf>
    <xf numFmtId="4" fontId="16" fillId="0" borderId="127" xfId="0" applyNumberFormat="1" applyFont="1" applyBorder="1" applyAlignment="1">
      <alignment horizontal="center" vertical="center" wrapText="1"/>
    </xf>
    <xf numFmtId="4" fontId="16" fillId="0" borderId="209" xfId="0" applyNumberFormat="1" applyFont="1" applyBorder="1" applyAlignment="1">
      <alignment horizontal="center" vertical="center" wrapText="1"/>
    </xf>
    <xf numFmtId="4" fontId="16" fillId="0" borderId="15" xfId="0" applyNumberFormat="1" applyFont="1" applyBorder="1" applyAlignment="1">
      <alignment horizontal="center" vertical="center" wrapText="1"/>
    </xf>
    <xf numFmtId="0" fontId="8" fillId="7" borderId="23"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27"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29" xfId="0" applyFont="1" applyFill="1" applyBorder="1" applyAlignment="1">
      <alignment horizontal="center" vertical="center" wrapText="1"/>
    </xf>
    <xf numFmtId="4" fontId="16" fillId="0" borderId="59" xfId="0" applyNumberFormat="1" applyFont="1" applyBorder="1" applyAlignment="1">
      <alignment horizontal="center" vertical="center" wrapText="1"/>
    </xf>
    <xf numFmtId="0" fontId="8" fillId="0" borderId="24" xfId="0" applyFont="1" applyBorder="1"/>
    <xf numFmtId="0" fontId="7" fillId="19" borderId="31" xfId="0" applyFont="1" applyFill="1" applyBorder="1" applyAlignment="1">
      <alignment horizontal="center" vertical="center" wrapText="1"/>
    </xf>
    <xf numFmtId="0" fontId="7" fillId="19" borderId="32" xfId="0" applyFont="1" applyFill="1" applyBorder="1" applyAlignment="1">
      <alignment horizontal="center" vertical="center" wrapText="1"/>
    </xf>
    <xf numFmtId="0" fontId="7" fillId="19" borderId="12" xfId="0" applyFont="1" applyFill="1" applyBorder="1" applyAlignment="1">
      <alignment horizontal="center" vertical="center"/>
    </xf>
    <xf numFmtId="0" fontId="7" fillId="19" borderId="15" xfId="0" applyFont="1" applyFill="1" applyBorder="1" applyAlignment="1">
      <alignment horizontal="center" vertical="center"/>
    </xf>
    <xf numFmtId="0" fontId="7" fillId="19" borderId="12" xfId="0" applyFont="1" applyFill="1" applyBorder="1" applyAlignment="1">
      <alignment horizontal="center" vertical="center" wrapText="1"/>
    </xf>
    <xf numFmtId="0" fontId="7" fillId="19" borderId="15" xfId="0" applyFont="1" applyFill="1" applyBorder="1" applyAlignment="1">
      <alignment horizontal="center" vertical="center" wrapText="1"/>
    </xf>
    <xf numFmtId="0" fontId="7" fillId="19" borderId="13" xfId="0" applyFont="1" applyFill="1" applyBorder="1" applyAlignment="1">
      <alignment horizontal="center" vertical="center"/>
    </xf>
    <xf numFmtId="0" fontId="7" fillId="19" borderId="14" xfId="0" applyFont="1" applyFill="1" applyBorder="1" applyAlignment="1">
      <alignment horizontal="center" vertical="center"/>
    </xf>
    <xf numFmtId="0" fontId="33" fillId="0" borderId="3" xfId="0" applyFont="1" applyBorder="1"/>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11" borderId="15"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7" fillId="11" borderId="15" xfId="0" applyFont="1" applyFill="1" applyBorder="1" applyAlignment="1">
      <alignment horizontal="center" vertical="center"/>
    </xf>
    <xf numFmtId="0" fontId="46" fillId="11" borderId="143" xfId="5" applyFont="1" applyFill="1" applyBorder="1" applyAlignment="1" applyProtection="1">
      <alignment horizontal="left" vertical="center" wrapText="1"/>
    </xf>
    <xf numFmtId="0" fontId="7" fillId="19" borderId="13" xfId="0" applyFont="1" applyFill="1" applyBorder="1" applyAlignment="1" applyProtection="1">
      <alignment horizontal="center" vertical="center"/>
      <protection locked="0"/>
    </xf>
    <xf numFmtId="0" fontId="7" fillId="19" borderId="14" xfId="0" applyFont="1" applyFill="1" applyBorder="1" applyAlignment="1" applyProtection="1">
      <alignment horizontal="center" vertical="center"/>
      <protection locked="0"/>
    </xf>
    <xf numFmtId="0" fontId="7" fillId="19" borderId="12" xfId="0" applyFont="1" applyFill="1" applyBorder="1" applyAlignment="1" applyProtection="1">
      <alignment horizontal="center" vertical="center"/>
      <protection locked="0"/>
    </xf>
    <xf numFmtId="0" fontId="7" fillId="19" borderId="15" xfId="0" applyFont="1" applyFill="1" applyBorder="1" applyAlignment="1" applyProtection="1">
      <alignment horizontal="center" vertical="center"/>
      <protection locked="0"/>
    </xf>
    <xf numFmtId="0" fontId="7" fillId="19" borderId="12" xfId="0" applyFont="1" applyFill="1" applyBorder="1" applyAlignment="1" applyProtection="1">
      <alignment horizontal="center" vertical="center" wrapText="1"/>
      <protection locked="0"/>
    </xf>
    <xf numFmtId="0" fontId="7" fillId="19" borderId="15" xfId="0" applyFont="1" applyFill="1" applyBorder="1" applyAlignment="1" applyProtection="1">
      <alignment horizontal="center" vertical="center" wrapText="1"/>
      <protection locked="0"/>
    </xf>
    <xf numFmtId="0" fontId="7" fillId="19" borderId="61" xfId="0" applyFont="1" applyFill="1" applyBorder="1" applyAlignment="1" applyProtection="1">
      <alignment horizontal="center" vertical="center" wrapText="1"/>
      <protection locked="0"/>
    </xf>
    <xf numFmtId="0" fontId="7" fillId="19" borderId="34" xfId="0" applyFont="1" applyFill="1" applyBorder="1" applyAlignment="1" applyProtection="1">
      <alignment horizontal="center" vertical="center" wrapText="1"/>
      <protection locked="0"/>
    </xf>
    <xf numFmtId="0" fontId="61" fillId="0" borderId="0" xfId="5" applyFont="1" applyBorder="1" applyAlignment="1" applyProtection="1">
      <alignment vertical="center" wrapText="1"/>
    </xf>
    <xf numFmtId="0" fontId="33" fillId="0" borderId="3" xfId="0" applyFont="1" applyBorder="1" applyAlignment="1">
      <alignment vertical="center"/>
    </xf>
    <xf numFmtId="0" fontId="21" fillId="11" borderId="68" xfId="5" applyFont="1" applyFill="1" applyBorder="1" applyAlignment="1" applyProtection="1">
      <alignment horizontal="center" vertical="center"/>
    </xf>
    <xf numFmtId="0" fontId="0" fillId="0" borderId="0" xfId="0"/>
    <xf numFmtId="0" fontId="29" fillId="9" borderId="0" xfId="0" applyFont="1" applyFill="1" applyAlignment="1">
      <alignment vertical="center"/>
    </xf>
    <xf numFmtId="0" fontId="12" fillId="8" borderId="13"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7" fillId="9" borderId="3" xfId="0" applyFont="1" applyFill="1" applyBorder="1" applyAlignment="1">
      <alignment vertical="center"/>
    </xf>
    <xf numFmtId="0" fontId="12" fillId="8" borderId="62" xfId="0" applyFont="1" applyFill="1" applyBorder="1" applyAlignment="1">
      <alignment horizontal="center" vertical="center" wrapText="1"/>
    </xf>
    <xf numFmtId="0" fontId="12" fillId="8" borderId="137"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5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7" fillId="11" borderId="1" xfId="0" applyFont="1" applyFill="1" applyBorder="1" applyAlignment="1">
      <alignment horizontal="center" vertical="center"/>
    </xf>
    <xf numFmtId="0" fontId="7" fillId="9" borderId="30" xfId="0" quotePrefix="1" applyFont="1" applyFill="1" applyBorder="1" applyAlignment="1">
      <alignment vertical="center" wrapText="1"/>
    </xf>
    <xf numFmtId="0" fontId="7" fillId="9" borderId="67" xfId="0" applyFont="1" applyFill="1" applyBorder="1" applyAlignment="1">
      <alignment vertical="center" wrapText="1"/>
    </xf>
    <xf numFmtId="0" fontId="7" fillId="9" borderId="87" xfId="0" applyFont="1" applyFill="1" applyBorder="1" applyAlignment="1">
      <alignment vertical="center" wrapText="1"/>
    </xf>
    <xf numFmtId="0" fontId="16" fillId="9" borderId="79" xfId="0" applyFont="1" applyFill="1" applyBorder="1" applyAlignment="1">
      <alignment vertical="center" wrapText="1"/>
    </xf>
    <xf numFmtId="0" fontId="16" fillId="9" borderId="71" xfId="0" applyFont="1" applyFill="1" applyBorder="1" applyAlignment="1">
      <alignment vertical="center" wrapText="1"/>
    </xf>
    <xf numFmtId="0" fontId="16" fillId="9" borderId="89" xfId="0" applyFont="1" applyFill="1" applyBorder="1" applyAlignment="1">
      <alignment vertical="center" wrapText="1"/>
    </xf>
    <xf numFmtId="0" fontId="16" fillId="0" borderId="79" xfId="0" applyFont="1" applyBorder="1" applyAlignment="1">
      <alignment vertical="center" wrapText="1"/>
    </xf>
    <xf numFmtId="0" fontId="16" fillId="0" borderId="71" xfId="0" applyFont="1" applyBorder="1" applyAlignment="1">
      <alignment vertical="center" wrapText="1"/>
    </xf>
    <xf numFmtId="0" fontId="16" fillId="0" borderId="89" xfId="0" applyFont="1" applyBorder="1" applyAlignment="1">
      <alignment vertical="center" wrapText="1"/>
    </xf>
    <xf numFmtId="0" fontId="7" fillId="9" borderId="85" xfId="0" applyFont="1" applyFill="1" applyBorder="1" applyAlignment="1">
      <alignment vertical="center" wrapText="1"/>
    </xf>
    <xf numFmtId="0" fontId="7" fillId="9" borderId="98" xfId="0" applyFont="1" applyFill="1" applyBorder="1" applyAlignment="1">
      <alignment vertical="center" wrapText="1"/>
    </xf>
    <xf numFmtId="0" fontId="7" fillId="9" borderId="131" xfId="0" applyFont="1" applyFill="1" applyBorder="1" applyAlignment="1">
      <alignment vertical="center" wrapText="1"/>
    </xf>
    <xf numFmtId="0" fontId="7" fillId="9" borderId="77" xfId="0" applyFont="1" applyFill="1" applyBorder="1" applyAlignment="1">
      <alignment vertical="center" wrapText="1"/>
    </xf>
    <xf numFmtId="0" fontId="7" fillId="9" borderId="90" xfId="0" applyFont="1" applyFill="1" applyBorder="1" applyAlignment="1">
      <alignment vertical="center" wrapText="1"/>
    </xf>
    <xf numFmtId="0" fontId="7" fillId="9" borderId="66" xfId="0" applyFont="1" applyFill="1" applyBorder="1" applyAlignment="1">
      <alignment vertical="center" wrapText="1"/>
    </xf>
    <xf numFmtId="0" fontId="7" fillId="9" borderId="95" xfId="0" applyFont="1" applyFill="1" applyBorder="1" applyAlignment="1">
      <alignment vertical="center" wrapText="1"/>
    </xf>
    <xf numFmtId="0" fontId="7" fillId="9" borderId="23" xfId="0" applyFont="1" applyFill="1" applyBorder="1" applyAlignment="1">
      <alignment vertical="center" wrapText="1"/>
    </xf>
    <xf numFmtId="0" fontId="7" fillId="9" borderId="24" xfId="0" applyFont="1" applyFill="1" applyBorder="1" applyAlignment="1">
      <alignment vertical="center" wrapText="1"/>
    </xf>
    <xf numFmtId="0" fontId="7" fillId="9" borderId="25" xfId="0" applyFont="1" applyFill="1" applyBorder="1" applyAlignment="1">
      <alignment vertical="center" wrapText="1"/>
    </xf>
    <xf numFmtId="0" fontId="7" fillId="0" borderId="66" xfId="0" applyFont="1" applyBorder="1" applyAlignment="1">
      <alignment vertical="center" wrapText="1"/>
    </xf>
    <xf numFmtId="0" fontId="7" fillId="9" borderId="28" xfId="0" applyFont="1" applyFill="1" applyBorder="1" applyAlignment="1">
      <alignment vertical="center" wrapText="1"/>
    </xf>
    <xf numFmtId="0" fontId="7" fillId="9" borderId="3" xfId="0" applyFont="1" applyFill="1" applyBorder="1" applyAlignment="1">
      <alignment vertical="center" wrapText="1"/>
    </xf>
    <xf numFmtId="0" fontId="8" fillId="11" borderId="1" xfId="0" applyFont="1" applyFill="1" applyBorder="1" applyAlignment="1">
      <alignment horizontal="center" vertical="center"/>
    </xf>
    <xf numFmtId="0" fontId="8" fillId="11" borderId="26" xfId="0" applyFont="1" applyFill="1" applyBorder="1" applyAlignment="1">
      <alignment vertical="center" wrapText="1"/>
    </xf>
    <xf numFmtId="0" fontId="7" fillId="0" borderId="28" xfId="0" quotePrefix="1" applyFont="1" applyBorder="1" applyAlignment="1">
      <alignment vertical="center" wrapText="1"/>
    </xf>
    <xf numFmtId="0" fontId="7" fillId="0" borderId="3" xfId="0" applyFont="1" applyBorder="1" applyAlignment="1">
      <alignment vertical="center" wrapText="1"/>
    </xf>
    <xf numFmtId="0" fontId="7" fillId="0" borderId="29" xfId="0" applyFont="1" applyBorder="1" applyAlignment="1">
      <alignment vertical="center" wrapText="1"/>
    </xf>
    <xf numFmtId="2" fontId="65" fillId="19" borderId="110" xfId="0" applyNumberFormat="1" applyFont="1" applyFill="1" applyBorder="1" applyAlignment="1">
      <alignment horizontal="left" vertical="center" wrapText="1"/>
    </xf>
    <xf numFmtId="2" fontId="65" fillId="19" borderId="111" xfId="0" applyNumberFormat="1" applyFont="1" applyFill="1" applyBorder="1" applyAlignment="1">
      <alignment horizontal="left" vertical="center" wrapText="1"/>
    </xf>
    <xf numFmtId="2" fontId="65" fillId="19" borderId="50" xfId="0" applyNumberFormat="1" applyFont="1" applyFill="1" applyBorder="1" applyAlignment="1">
      <alignment horizontal="left" vertical="center" wrapText="1"/>
    </xf>
    <xf numFmtId="0" fontId="78" fillId="11" borderId="143" xfId="5" applyFont="1" applyFill="1" applyBorder="1" applyAlignment="1" applyProtection="1">
      <alignment horizontal="center" vertical="center" wrapText="1"/>
    </xf>
    <xf numFmtId="0" fontId="7" fillId="12" borderId="19" xfId="0" applyFont="1" applyFill="1" applyBorder="1" applyAlignment="1">
      <alignment vertical="center"/>
    </xf>
    <xf numFmtId="0" fontId="7" fillId="12" borderId="20" xfId="0" applyFont="1" applyFill="1" applyBorder="1" applyAlignment="1">
      <alignment vertical="center"/>
    </xf>
    <xf numFmtId="0" fontId="7" fillId="12" borderId="22" xfId="0" applyFont="1" applyFill="1" applyBorder="1" applyAlignment="1">
      <alignment vertical="center"/>
    </xf>
    <xf numFmtId="0" fontId="33" fillId="0" borderId="20" xfId="0" applyFont="1" applyBorder="1" applyAlignment="1">
      <alignment horizontal="left" vertical="center" wrapText="1"/>
    </xf>
    <xf numFmtId="175" fontId="38" fillId="11" borderId="111" xfId="0" applyNumberFormat="1" applyFont="1" applyFill="1" applyBorder="1" applyAlignment="1">
      <alignment horizontal="left" vertical="center" wrapText="1"/>
    </xf>
    <xf numFmtId="0" fontId="14" fillId="0" borderId="3" xfId="0" applyFont="1" applyBorder="1" applyAlignment="1">
      <alignment wrapText="1"/>
    </xf>
    <xf numFmtId="0" fontId="7" fillId="0" borderId="3" xfId="0" applyFont="1" applyBorder="1" applyAlignment="1">
      <alignment wrapText="1"/>
    </xf>
    <xf numFmtId="2" fontId="65" fillId="0" borderId="19" xfId="0" applyNumberFormat="1" applyFont="1" applyBorder="1" applyAlignment="1">
      <alignment horizontal="left" vertical="center" wrapText="1"/>
    </xf>
    <xf numFmtId="2" fontId="65" fillId="0" borderId="20" xfId="0" applyNumberFormat="1" applyFont="1" applyBorder="1" applyAlignment="1">
      <alignment horizontal="left" vertical="center" wrapText="1"/>
    </xf>
    <xf numFmtId="2" fontId="65" fillId="0" borderId="22" xfId="0" applyNumberFormat="1" applyFont="1" applyBorder="1" applyAlignment="1">
      <alignment horizontal="left" vertical="center" wrapText="1"/>
    </xf>
    <xf numFmtId="0" fontId="14" fillId="0" borderId="3" xfId="0" applyFont="1" applyBorder="1" applyAlignment="1">
      <alignment horizontal="left" wrapText="1"/>
    </xf>
    <xf numFmtId="0" fontId="33" fillId="0" borderId="3" xfId="0" applyFont="1" applyBorder="1" applyAlignment="1">
      <alignment horizontal="left" wrapText="1"/>
    </xf>
    <xf numFmtId="2" fontId="65" fillId="0" borderId="23" xfId="0" applyNumberFormat="1" applyFont="1" applyBorder="1" applyAlignment="1">
      <alignment horizontal="left" vertical="center" wrapText="1"/>
    </xf>
    <xf numFmtId="2" fontId="65" fillId="0" borderId="24" xfId="0" applyNumberFormat="1" applyFont="1" applyBorder="1" applyAlignment="1">
      <alignment horizontal="left" vertical="center" wrapText="1"/>
    </xf>
    <xf numFmtId="2" fontId="65" fillId="0" borderId="25" xfId="0" applyNumberFormat="1" applyFont="1" applyBorder="1" applyAlignment="1">
      <alignment horizontal="left" vertical="center" wrapText="1"/>
    </xf>
    <xf numFmtId="2" fontId="65" fillId="0" borderId="28" xfId="0" applyNumberFormat="1" applyFont="1" applyBorder="1" applyAlignment="1">
      <alignment horizontal="left" vertical="center" wrapText="1"/>
    </xf>
    <xf numFmtId="2" fontId="65" fillId="0" borderId="3" xfId="0" applyNumberFormat="1" applyFont="1" applyBorder="1" applyAlignment="1">
      <alignment horizontal="left" vertical="center" wrapText="1"/>
    </xf>
    <xf numFmtId="2" fontId="65" fillId="0" borderId="29" xfId="0" applyNumberFormat="1" applyFont="1" applyBorder="1" applyAlignment="1">
      <alignment horizontal="left" vertical="center" wrapText="1"/>
    </xf>
    <xf numFmtId="2" fontId="8" fillId="0" borderId="0" xfId="0" applyNumberFormat="1" applyFont="1" applyAlignment="1">
      <alignment vertical="center"/>
    </xf>
    <xf numFmtId="175" fontId="47" fillId="11" borderId="0" xfId="0" applyNumberFormat="1" applyFont="1" applyFill="1" applyAlignment="1">
      <alignment horizontal="left" vertical="center" wrapText="1"/>
    </xf>
    <xf numFmtId="175" fontId="46" fillId="11" borderId="0" xfId="0" applyNumberFormat="1" applyFont="1" applyFill="1" applyAlignment="1">
      <alignment horizontal="right" vertical="center"/>
    </xf>
    <xf numFmtId="0" fontId="7" fillId="19" borderId="23" xfId="0" applyFont="1" applyFill="1" applyBorder="1" applyAlignment="1">
      <alignment horizontal="center" vertical="center"/>
    </xf>
    <xf numFmtId="0" fontId="7" fillId="19" borderId="24" xfId="0" applyFont="1" applyFill="1" applyBorder="1" applyAlignment="1">
      <alignment horizontal="center" vertical="center"/>
    </xf>
    <xf numFmtId="0" fontId="7" fillId="19" borderId="61" xfId="0" applyFont="1" applyFill="1" applyBorder="1" applyAlignment="1">
      <alignment horizontal="center" vertical="center"/>
    </xf>
    <xf numFmtId="0" fontId="7" fillId="19" borderId="28" xfId="0" applyFont="1" applyFill="1" applyBorder="1" applyAlignment="1">
      <alignment horizontal="center" vertical="center"/>
    </xf>
    <xf numFmtId="0" fontId="7" fillId="19" borderId="3" xfId="0" applyFont="1" applyFill="1" applyBorder="1" applyAlignment="1">
      <alignment horizontal="center" vertical="center"/>
    </xf>
    <xf numFmtId="0" fontId="7" fillId="19" borderId="34" xfId="0" applyFont="1" applyFill="1" applyBorder="1" applyAlignment="1">
      <alignment horizontal="center" vertical="center"/>
    </xf>
    <xf numFmtId="10" fontId="7" fillId="19" borderId="12" xfId="0" applyNumberFormat="1" applyFont="1" applyFill="1" applyBorder="1" applyAlignment="1">
      <alignment horizontal="center" vertical="center" wrapText="1"/>
    </xf>
    <xf numFmtId="10" fontId="7" fillId="19" borderId="15" xfId="0" applyNumberFormat="1" applyFont="1" applyFill="1" applyBorder="1" applyAlignment="1">
      <alignment horizontal="center" vertical="center" wrapText="1"/>
    </xf>
    <xf numFmtId="0" fontId="16" fillId="0" borderId="110" xfId="0" applyFont="1" applyBorder="1" applyAlignment="1">
      <alignment horizontal="left" vertical="center" wrapText="1"/>
    </xf>
    <xf numFmtId="0" fontId="16" fillId="0" borderId="111" xfId="0" applyFont="1" applyBorder="1" applyAlignment="1">
      <alignment horizontal="left" vertical="center" wrapText="1"/>
    </xf>
    <xf numFmtId="0" fontId="16" fillId="0" borderId="41" xfId="0" applyFont="1" applyBorder="1" applyAlignment="1">
      <alignment horizontal="left" vertical="center" wrapText="1"/>
    </xf>
    <xf numFmtId="0" fontId="16" fillId="0" borderId="142" xfId="0" applyFont="1" applyBorder="1" applyAlignment="1">
      <alignment horizontal="left" vertical="center" wrapText="1"/>
    </xf>
    <xf numFmtId="0" fontId="16" fillId="0" borderId="143" xfId="0" applyFont="1" applyBorder="1" applyAlignment="1">
      <alignment horizontal="left" vertical="center" wrapText="1"/>
    </xf>
    <xf numFmtId="0" fontId="16" fillId="0" borderId="45" xfId="0" applyFont="1" applyBorder="1" applyAlignment="1">
      <alignment horizontal="left" vertical="center" wrapText="1"/>
    </xf>
    <xf numFmtId="0" fontId="16" fillId="11" borderId="142" xfId="0" applyFont="1" applyFill="1" applyBorder="1" applyAlignment="1">
      <alignment horizontal="left" vertical="center" wrapText="1"/>
    </xf>
    <xf numFmtId="0" fontId="16" fillId="11" borderId="45" xfId="0" applyFont="1" applyFill="1" applyBorder="1" applyAlignment="1">
      <alignment horizontal="left" vertical="center" wrapText="1"/>
    </xf>
    <xf numFmtId="0" fontId="16" fillId="11" borderId="110" xfId="0" applyFont="1" applyFill="1" applyBorder="1" applyAlignment="1">
      <alignment horizontal="left" vertical="center" wrapText="1"/>
    </xf>
    <xf numFmtId="0" fontId="16" fillId="11" borderId="111" xfId="0" applyFont="1" applyFill="1" applyBorder="1" applyAlignment="1">
      <alignment horizontal="left" vertical="center" wrapText="1"/>
    </xf>
    <xf numFmtId="0" fontId="16" fillId="11" borderId="41" xfId="0" applyFont="1" applyFill="1" applyBorder="1" applyAlignment="1">
      <alignment horizontal="left" vertical="center" wrapText="1"/>
    </xf>
    <xf numFmtId="0" fontId="7" fillId="11" borderId="23" xfId="0" applyFont="1" applyFill="1" applyBorder="1" applyAlignment="1">
      <alignment horizontal="center" vertical="center"/>
    </xf>
    <xf numFmtId="0" fontId="7" fillId="11" borderId="24" xfId="0" applyFont="1" applyFill="1" applyBorder="1" applyAlignment="1">
      <alignment horizontal="center" vertical="center"/>
    </xf>
    <xf numFmtId="0" fontId="7" fillId="11" borderId="61" xfId="0" applyFont="1" applyFill="1" applyBorder="1" applyAlignment="1">
      <alignment horizontal="center" vertical="center"/>
    </xf>
    <xf numFmtId="0" fontId="7" fillId="11" borderId="28"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34" xfId="0" applyFont="1" applyFill="1" applyBorder="1" applyAlignment="1">
      <alignment horizontal="center" vertical="center"/>
    </xf>
    <xf numFmtId="10" fontId="7" fillId="11" borderId="12" xfId="0" applyNumberFormat="1" applyFont="1" applyFill="1" applyBorder="1" applyAlignment="1">
      <alignment horizontal="center" vertical="center" wrapText="1"/>
    </xf>
    <xf numFmtId="10" fontId="7" fillId="11" borderId="15" xfId="0" applyNumberFormat="1" applyFont="1" applyFill="1" applyBorder="1" applyAlignment="1">
      <alignment horizontal="center" vertical="center" wrapText="1"/>
    </xf>
    <xf numFmtId="0" fontId="16" fillId="0" borderId="115" xfId="0" applyFont="1" applyBorder="1" applyAlignment="1">
      <alignment horizontal="left" vertical="center" wrapText="1"/>
    </xf>
    <xf numFmtId="0" fontId="16" fillId="0" borderId="116" xfId="0" applyFont="1" applyBorder="1" applyAlignment="1">
      <alignment horizontal="left" vertical="center" wrapText="1"/>
    </xf>
    <xf numFmtId="0" fontId="16" fillId="0" borderId="49" xfId="0" applyFont="1" applyBorder="1" applyAlignment="1">
      <alignment horizontal="left" vertical="center" wrapText="1"/>
    </xf>
    <xf numFmtId="0" fontId="8" fillId="0" borderId="24" xfId="0" applyFont="1" applyBorder="1" applyAlignment="1">
      <alignment vertical="center"/>
    </xf>
    <xf numFmtId="0" fontId="53" fillId="11" borderId="0" xfId="5" applyNumberFormat="1" applyFont="1" applyFill="1" applyBorder="1" applyAlignment="1" applyProtection="1">
      <alignment horizontal="center" vertical="center"/>
    </xf>
    <xf numFmtId="0" fontId="16" fillId="11" borderId="132" xfId="0" applyFont="1" applyFill="1" applyBorder="1" applyAlignment="1">
      <alignment vertical="center" wrapText="1"/>
    </xf>
    <xf numFmtId="0" fontId="46" fillId="11" borderId="0" xfId="5" applyNumberFormat="1" applyFont="1" applyFill="1" applyBorder="1" applyAlignment="1" applyProtection="1">
      <alignment horizontal="left" vertical="center"/>
    </xf>
    <xf numFmtId="0" fontId="46" fillId="11" borderId="143" xfId="0" applyFont="1" applyFill="1" applyBorder="1" applyAlignment="1">
      <alignment horizontal="left" vertical="center" wrapText="1"/>
    </xf>
    <xf numFmtId="0" fontId="7" fillId="19" borderId="16" xfId="0" applyFont="1" applyFill="1" applyBorder="1" applyAlignment="1">
      <alignment vertical="center" wrapText="1"/>
    </xf>
    <xf numFmtId="0" fontId="7" fillId="19" borderId="17" xfId="0" applyFont="1" applyFill="1" applyBorder="1" applyAlignment="1">
      <alignment vertical="center" wrapText="1"/>
    </xf>
    <xf numFmtId="0" fontId="7" fillId="19" borderId="147" xfId="0" applyFont="1" applyFill="1" applyBorder="1" applyAlignment="1">
      <alignment horizontal="center" vertical="center" wrapText="1"/>
    </xf>
    <xf numFmtId="0" fontId="38" fillId="11" borderId="116" xfId="0" applyFont="1" applyFill="1" applyBorder="1" applyAlignment="1">
      <alignment horizontal="center" vertical="center" wrapText="1"/>
    </xf>
    <xf numFmtId="0" fontId="16" fillId="9" borderId="170" xfId="0" applyFont="1" applyFill="1" applyBorder="1" applyAlignment="1">
      <alignment vertical="center" wrapText="1"/>
    </xf>
    <xf numFmtId="0" fontId="16" fillId="9" borderId="132" xfId="0" applyFont="1" applyFill="1" applyBorder="1" applyAlignment="1">
      <alignment vertical="center" wrapText="1"/>
    </xf>
    <xf numFmtId="0" fontId="16" fillId="9" borderId="171" xfId="0" applyFont="1" applyFill="1" applyBorder="1" applyAlignment="1">
      <alignment vertical="center" wrapText="1"/>
    </xf>
    <xf numFmtId="0" fontId="16" fillId="9" borderId="177" xfId="0" applyFont="1" applyFill="1" applyBorder="1" applyAlignment="1" applyProtection="1">
      <alignment vertical="center" wrapText="1"/>
      <protection locked="0"/>
    </xf>
    <xf numFmtId="0" fontId="16" fillId="9" borderId="178" xfId="0" applyFont="1" applyFill="1" applyBorder="1" applyAlignment="1" applyProtection="1">
      <alignment vertical="center" wrapText="1"/>
      <protection locked="0"/>
    </xf>
    <xf numFmtId="0" fontId="16" fillId="9" borderId="177" xfId="0" applyFont="1" applyFill="1" applyBorder="1" applyAlignment="1">
      <alignment vertical="center" wrapText="1"/>
    </xf>
    <xf numFmtId="0" fontId="16" fillId="9" borderId="178" xfId="0" applyFont="1" applyFill="1" applyBorder="1" applyAlignment="1">
      <alignment vertical="center" wrapText="1"/>
    </xf>
    <xf numFmtId="0" fontId="16" fillId="9" borderId="26" xfId="0" applyFont="1" applyFill="1" applyBorder="1" applyAlignment="1">
      <alignment vertical="center" wrapText="1"/>
    </xf>
    <xf numFmtId="0" fontId="16" fillId="9" borderId="0" xfId="0" applyFont="1" applyFill="1" applyAlignment="1">
      <alignment vertical="center" wrapText="1"/>
    </xf>
    <xf numFmtId="0" fontId="16" fillId="9" borderId="168" xfId="0" applyFont="1" applyFill="1" applyBorder="1" applyAlignment="1">
      <alignment vertical="center" wrapText="1"/>
    </xf>
    <xf numFmtId="0" fontId="16" fillId="9" borderId="81" xfId="0" applyFont="1" applyFill="1" applyBorder="1" applyAlignment="1">
      <alignment vertical="center" wrapText="1"/>
    </xf>
    <xf numFmtId="0" fontId="16" fillId="9" borderId="27" xfId="0" applyFont="1" applyFill="1" applyBorder="1" applyAlignment="1">
      <alignment vertical="center" wrapText="1"/>
    </xf>
    <xf numFmtId="0" fontId="7" fillId="9" borderId="19" xfId="0" applyFont="1" applyFill="1" applyBorder="1" applyAlignment="1">
      <alignment vertical="center" wrapText="1"/>
    </xf>
    <xf numFmtId="0" fontId="7" fillId="9" borderId="20" xfId="0" applyFont="1" applyFill="1" applyBorder="1" applyAlignment="1">
      <alignment vertical="center" wrapText="1"/>
    </xf>
    <xf numFmtId="0" fontId="7" fillId="9" borderId="22" xfId="0" applyFont="1" applyFill="1" applyBorder="1" applyAlignment="1">
      <alignment vertical="center" wrapText="1"/>
    </xf>
    <xf numFmtId="0" fontId="8" fillId="11" borderId="26" xfId="0" applyFont="1" applyFill="1" applyBorder="1" applyAlignment="1">
      <alignment horizontal="center" vertical="center" wrapText="1"/>
    </xf>
    <xf numFmtId="0" fontId="8" fillId="11" borderId="0" xfId="0" applyFont="1" applyFill="1" applyAlignment="1">
      <alignment horizontal="center" vertical="center" wrapText="1"/>
    </xf>
    <xf numFmtId="0" fontId="7" fillId="19" borderId="13" xfId="0" applyFont="1" applyFill="1" applyBorder="1" applyAlignment="1">
      <alignment vertical="center" wrapText="1"/>
    </xf>
    <xf numFmtId="0" fontId="7" fillId="19" borderId="12" xfId="0" applyFont="1" applyFill="1" applyBorder="1" applyAlignment="1">
      <alignment vertical="center" wrapText="1"/>
    </xf>
    <xf numFmtId="0" fontId="7" fillId="19" borderId="65" xfId="0" applyFont="1" applyFill="1" applyBorder="1" applyAlignment="1">
      <alignment vertical="center" wrapText="1"/>
    </xf>
    <xf numFmtId="0" fontId="7" fillId="19" borderId="25" xfId="0" applyFont="1" applyFill="1" applyBorder="1" applyAlignment="1">
      <alignment vertical="center" wrapText="1"/>
    </xf>
    <xf numFmtId="0" fontId="7" fillId="19" borderId="64" xfId="0" applyFont="1" applyFill="1" applyBorder="1" applyAlignment="1">
      <alignment vertical="center" wrapText="1"/>
    </xf>
    <xf numFmtId="0" fontId="7" fillId="19" borderId="29" xfId="0" applyFont="1" applyFill="1" applyBorder="1" applyAlignment="1">
      <alignment vertical="center" wrapText="1"/>
    </xf>
    <xf numFmtId="0" fontId="8" fillId="19" borderId="14" xfId="0" applyFont="1" applyFill="1" applyBorder="1" applyAlignment="1">
      <alignment vertical="center" wrapText="1"/>
    </xf>
    <xf numFmtId="0" fontId="8" fillId="19" borderId="15" xfId="0" applyFont="1" applyFill="1" applyBorder="1" applyAlignment="1">
      <alignment vertical="center" wrapText="1"/>
    </xf>
    <xf numFmtId="0" fontId="16" fillId="0" borderId="142" xfId="0" applyFont="1" applyBorder="1" applyAlignment="1" applyProtection="1">
      <alignment vertical="center" wrapText="1"/>
      <protection locked="0"/>
    </xf>
    <xf numFmtId="0" fontId="16" fillId="0" borderId="45" xfId="0" applyFont="1" applyBorder="1" applyAlignment="1" applyProtection="1">
      <alignment vertical="center" wrapText="1"/>
      <protection locked="0"/>
    </xf>
    <xf numFmtId="0" fontId="16" fillId="0" borderId="121" xfId="0" applyFont="1" applyBorder="1" applyAlignment="1" applyProtection="1">
      <alignment vertical="center" wrapText="1"/>
      <protection locked="0"/>
    </xf>
    <xf numFmtId="0" fontId="16" fillId="0" borderId="51" xfId="0" applyFont="1" applyBorder="1" applyAlignment="1" applyProtection="1">
      <alignment vertical="center" wrapText="1"/>
      <protection locked="0"/>
    </xf>
    <xf numFmtId="0" fontId="16" fillId="0" borderId="110" xfId="0" applyFont="1" applyBorder="1" applyAlignment="1" applyProtection="1">
      <alignment vertical="center" wrapText="1"/>
      <protection locked="0"/>
    </xf>
    <xf numFmtId="0" fontId="16" fillId="0" borderId="41" xfId="0" applyFont="1" applyBorder="1" applyAlignment="1" applyProtection="1">
      <alignment vertical="center" wrapText="1"/>
      <protection locked="0"/>
    </xf>
    <xf numFmtId="0" fontId="16" fillId="0" borderId="120" xfId="0" applyFont="1" applyBorder="1" applyAlignment="1" applyProtection="1">
      <alignment vertical="center" wrapText="1"/>
      <protection locked="0"/>
    </xf>
    <xf numFmtId="0" fontId="16" fillId="0" borderId="50" xfId="0" applyFont="1" applyBorder="1" applyAlignment="1" applyProtection="1">
      <alignment vertical="center" wrapText="1"/>
      <protection locked="0"/>
    </xf>
    <xf numFmtId="0" fontId="16" fillId="0" borderId="143" xfId="0" applyFont="1" applyBorder="1" applyAlignment="1" applyProtection="1">
      <alignment vertical="center" wrapText="1"/>
      <protection locked="0"/>
    </xf>
    <xf numFmtId="0" fontId="7" fillId="19" borderId="24" xfId="0" applyFont="1" applyFill="1" applyBorder="1" applyAlignment="1">
      <alignment vertical="center" wrapText="1"/>
    </xf>
    <xf numFmtId="0" fontId="7" fillId="19" borderId="3" xfId="0" applyFont="1" applyFill="1" applyBorder="1" applyAlignment="1">
      <alignment vertical="center" wrapText="1"/>
    </xf>
    <xf numFmtId="0" fontId="16" fillId="0" borderId="111" xfId="0" applyFont="1" applyBorder="1" applyAlignment="1" applyProtection="1">
      <alignment vertical="center" wrapText="1"/>
      <protection locked="0"/>
    </xf>
    <xf numFmtId="0" fontId="16" fillId="0" borderId="115" xfId="0" applyFont="1" applyBorder="1" applyAlignment="1" applyProtection="1">
      <alignment vertical="center" wrapText="1"/>
      <protection locked="0"/>
    </xf>
    <xf numFmtId="0" fontId="16" fillId="0" borderId="49" xfId="0" applyFont="1" applyBorder="1" applyAlignment="1" applyProtection="1">
      <alignment vertical="center" wrapText="1"/>
      <protection locked="0"/>
    </xf>
    <xf numFmtId="0" fontId="16" fillId="0" borderId="122" xfId="0" applyFont="1" applyBorder="1" applyAlignment="1" applyProtection="1">
      <alignment vertical="center" wrapText="1"/>
      <protection locked="0"/>
    </xf>
    <xf numFmtId="0" fontId="16" fillId="0" borderId="116" xfId="0" applyFont="1" applyBorder="1" applyAlignment="1" applyProtection="1">
      <alignment vertical="center" wrapText="1"/>
      <protection locked="0"/>
    </xf>
    <xf numFmtId="0" fontId="16" fillId="0" borderId="52" xfId="0" applyFont="1" applyBorder="1" applyAlignment="1" applyProtection="1">
      <alignment vertical="center" wrapText="1"/>
      <protection locked="0"/>
    </xf>
    <xf numFmtId="49" fontId="16" fillId="0" borderId="121" xfId="0" applyNumberFormat="1" applyFont="1" applyBorder="1" applyAlignment="1" applyProtection="1">
      <alignment vertical="center" wrapText="1"/>
      <protection locked="0"/>
    </xf>
    <xf numFmtId="49" fontId="16" fillId="0" borderId="45" xfId="0" applyNumberFormat="1" applyFont="1" applyBorder="1" applyAlignment="1" applyProtection="1">
      <alignment vertical="center" wrapText="1"/>
      <protection locked="0"/>
    </xf>
    <xf numFmtId="49" fontId="16" fillId="0" borderId="143" xfId="0" applyNumberFormat="1" applyFont="1" applyBorder="1" applyAlignment="1" applyProtection="1">
      <alignment vertical="center" wrapText="1"/>
      <protection locked="0"/>
    </xf>
    <xf numFmtId="49" fontId="16" fillId="0" borderId="51" xfId="0" applyNumberFormat="1" applyFont="1" applyBorder="1" applyAlignment="1" applyProtection="1">
      <alignment vertical="center" wrapText="1"/>
      <protection locked="0"/>
    </xf>
    <xf numFmtId="49" fontId="16" fillId="0" borderId="122" xfId="0" applyNumberFormat="1" applyFont="1" applyBorder="1" applyAlignment="1" applyProtection="1">
      <alignment vertical="center" wrapText="1"/>
      <protection locked="0"/>
    </xf>
    <xf numFmtId="49" fontId="16" fillId="0" borderId="49" xfId="0" applyNumberFormat="1" applyFont="1" applyBorder="1" applyAlignment="1" applyProtection="1">
      <alignment vertical="center" wrapText="1"/>
      <protection locked="0"/>
    </xf>
    <xf numFmtId="49" fontId="16" fillId="0" borderId="116" xfId="0" applyNumberFormat="1" applyFont="1" applyBorder="1" applyAlignment="1" applyProtection="1">
      <alignment vertical="center" wrapText="1"/>
      <protection locked="0"/>
    </xf>
    <xf numFmtId="49" fontId="16" fillId="0" borderId="52" xfId="0" applyNumberFormat="1" applyFont="1" applyBorder="1" applyAlignment="1" applyProtection="1">
      <alignment vertical="center" wrapText="1"/>
      <protection locked="0"/>
    </xf>
    <xf numFmtId="0" fontId="7" fillId="19" borderId="61" xfId="0" applyFont="1" applyFill="1" applyBorder="1" applyAlignment="1">
      <alignment vertical="center" wrapText="1"/>
    </xf>
    <xf numFmtId="0" fontId="8" fillId="19" borderId="64" xfId="0" applyFont="1" applyFill="1" applyBorder="1" applyAlignment="1">
      <alignment vertical="center" wrapText="1"/>
    </xf>
    <xf numFmtId="0" fontId="8" fillId="19" borderId="34" xfId="0" applyFont="1" applyFill="1" applyBorder="1" applyAlignment="1">
      <alignment vertical="center" wrapText="1"/>
    </xf>
    <xf numFmtId="49" fontId="16" fillId="0" borderId="145" xfId="0" applyNumberFormat="1" applyFont="1" applyBorder="1" applyAlignment="1" applyProtection="1">
      <alignment vertical="center" wrapText="1"/>
      <protection locked="0"/>
    </xf>
    <xf numFmtId="49" fontId="16" fillId="0" borderId="146" xfId="0" applyNumberFormat="1" applyFont="1" applyBorder="1" applyAlignment="1" applyProtection="1">
      <alignment vertical="center" wrapText="1"/>
      <protection locked="0"/>
    </xf>
    <xf numFmtId="49" fontId="16" fillId="0" borderId="68" xfId="0" applyNumberFormat="1" applyFont="1" applyBorder="1" applyAlignment="1" applyProtection="1">
      <alignment vertical="center" wrapText="1"/>
      <protection locked="0"/>
    </xf>
    <xf numFmtId="49" fontId="16" fillId="0" borderId="94" xfId="0" applyNumberFormat="1" applyFont="1" applyBorder="1" applyAlignment="1" applyProtection="1">
      <alignment vertical="center" wrapText="1"/>
      <protection locked="0"/>
    </xf>
    <xf numFmtId="0" fontId="7" fillId="0" borderId="79" xfId="0" applyFont="1" applyBorder="1" applyAlignment="1">
      <alignment vertical="center" wrapText="1"/>
    </xf>
    <xf numFmtId="0" fontId="7" fillId="0" borderId="71" xfId="0" applyFont="1" applyBorder="1" applyAlignment="1">
      <alignment vertical="center" wrapText="1"/>
    </xf>
    <xf numFmtId="0" fontId="7" fillId="0" borderId="89" xfId="0" applyFont="1" applyBorder="1" applyAlignment="1">
      <alignment vertical="center" wrapText="1"/>
    </xf>
    <xf numFmtId="0" fontId="20" fillId="11" borderId="26" xfId="0" applyFont="1" applyFill="1" applyBorder="1" applyAlignment="1">
      <alignment vertical="center"/>
    </xf>
    <xf numFmtId="0" fontId="20" fillId="11" borderId="0" xfId="0" applyFont="1" applyFill="1" applyAlignment="1">
      <alignment vertical="center"/>
    </xf>
    <xf numFmtId="0" fontId="38" fillId="11" borderId="68" xfId="0" applyFont="1" applyFill="1" applyBorder="1" applyAlignment="1">
      <alignment horizontal="center" vertical="center" wrapText="1"/>
    </xf>
    <xf numFmtId="0" fontId="7" fillId="9" borderId="30" xfId="0" applyFont="1" applyFill="1" applyBorder="1" applyAlignment="1">
      <alignment vertical="center" wrapText="1"/>
    </xf>
    <xf numFmtId="49" fontId="16" fillId="0" borderId="142" xfId="0" applyNumberFormat="1" applyFont="1" applyBorder="1" applyAlignment="1" applyProtection="1">
      <alignment vertical="center" wrapText="1"/>
      <protection locked="0"/>
    </xf>
    <xf numFmtId="49" fontId="16" fillId="0" borderId="115" xfId="0" applyNumberFormat="1" applyFont="1" applyBorder="1" applyAlignment="1" applyProtection="1">
      <alignment vertical="center" wrapText="1"/>
      <protection locked="0"/>
    </xf>
    <xf numFmtId="0" fontId="7" fillId="0" borderId="152" xfId="0" applyFont="1" applyBorder="1" applyAlignment="1">
      <alignment vertical="center" wrapText="1"/>
    </xf>
    <xf numFmtId="49" fontId="16" fillId="0" borderId="153" xfId="0" applyNumberFormat="1" applyFont="1" applyBorder="1" applyAlignment="1">
      <alignment vertical="center" wrapText="1"/>
    </xf>
    <xf numFmtId="49" fontId="16" fillId="0" borderId="66" xfId="0" applyNumberFormat="1" applyFont="1" applyBorder="1" applyAlignment="1">
      <alignment vertical="center" wrapText="1"/>
    </xf>
    <xf numFmtId="49" fontId="16" fillId="0" borderId="95" xfId="0" applyNumberFormat="1" applyFont="1" applyBorder="1" applyAlignment="1">
      <alignment vertical="center" wrapText="1"/>
    </xf>
    <xf numFmtId="0" fontId="7" fillId="0" borderId="149" xfId="0" applyFont="1" applyBorder="1" applyAlignment="1">
      <alignment vertical="center" wrapText="1"/>
    </xf>
    <xf numFmtId="0" fontId="7" fillId="0" borderId="68" xfId="0" applyFont="1" applyBorder="1" applyAlignment="1">
      <alignment vertical="center" wrapText="1"/>
    </xf>
    <xf numFmtId="0" fontId="7" fillId="0" borderId="94" xfId="0" applyFont="1" applyBorder="1" applyAlignment="1">
      <alignment vertical="center" wrapText="1"/>
    </xf>
    <xf numFmtId="49" fontId="0" fillId="0" borderId="112" xfId="0" applyNumberFormat="1" applyBorder="1" applyAlignment="1" applyProtection="1">
      <alignment horizontal="left" vertical="top" wrapText="1"/>
      <protection locked="0"/>
    </xf>
    <xf numFmtId="49" fontId="0" fillId="0" borderId="113" xfId="0" applyNumberFormat="1" applyBorder="1" applyAlignment="1" applyProtection="1">
      <alignment horizontal="left" vertical="top" wrapText="1"/>
      <protection locked="0"/>
    </xf>
    <xf numFmtId="49" fontId="0" fillId="0" borderId="114" xfId="0" applyNumberFormat="1" applyBorder="1" applyAlignment="1" applyProtection="1">
      <alignment horizontal="left" vertical="top" wrapText="1"/>
      <protection locked="0"/>
    </xf>
    <xf numFmtId="0" fontId="41" fillId="0" borderId="112" xfId="0" applyFont="1" applyBorder="1" applyAlignment="1">
      <alignment horizontal="center" vertical="center" wrapText="1"/>
    </xf>
    <xf numFmtId="0" fontId="41" fillId="0" borderId="113" xfId="0" applyFont="1" applyBorder="1" applyAlignment="1">
      <alignment horizontal="center" vertical="center" wrapText="1"/>
    </xf>
    <xf numFmtId="0" fontId="41" fillId="0" borderId="155" xfId="0" applyFont="1" applyBorder="1" applyAlignment="1">
      <alignment horizontal="center" vertical="center" wrapText="1"/>
    </xf>
    <xf numFmtId="49" fontId="16" fillId="0" borderId="149" xfId="0" applyNumberFormat="1" applyFont="1" applyBorder="1" applyAlignment="1" applyProtection="1">
      <alignment vertical="center" wrapText="1"/>
      <protection locked="0"/>
    </xf>
    <xf numFmtId="0" fontId="7" fillId="0" borderId="150" xfId="0" applyFont="1" applyBorder="1" applyAlignment="1">
      <alignment vertical="center" wrapText="1"/>
    </xf>
    <xf numFmtId="49" fontId="16" fillId="0" borderId="151" xfId="0" applyNumberFormat="1" applyFont="1" applyBorder="1" applyAlignment="1">
      <alignment vertical="center" wrapText="1"/>
    </xf>
    <xf numFmtId="49" fontId="16" fillId="0" borderId="67" xfId="0" applyNumberFormat="1" applyFont="1" applyBorder="1" applyAlignment="1">
      <alignment vertical="center" wrapText="1"/>
    </xf>
    <xf numFmtId="49" fontId="16" fillId="0" borderId="87" xfId="0" applyNumberFormat="1" applyFont="1" applyBorder="1" applyAlignment="1">
      <alignment vertical="center" wrapText="1"/>
    </xf>
    <xf numFmtId="0" fontId="16" fillId="0" borderId="42" xfId="0" applyFont="1" applyBorder="1" applyAlignment="1">
      <alignment vertical="center" wrapText="1"/>
    </xf>
    <xf numFmtId="0" fontId="16" fillId="0" borderId="43" xfId="0" applyFont="1" applyBorder="1" applyAlignment="1">
      <alignment vertical="center" wrapText="1"/>
    </xf>
    <xf numFmtId="0" fontId="0" fillId="0" borderId="43" xfId="0" applyBorder="1" applyAlignment="1" applyProtection="1">
      <alignment vertical="center" wrapText="1"/>
      <protection locked="0"/>
    </xf>
    <xf numFmtId="0" fontId="0" fillId="0" borderId="36" xfId="0" applyBorder="1" applyAlignment="1" applyProtection="1">
      <alignment vertical="center" wrapText="1"/>
      <protection locked="0"/>
    </xf>
    <xf numFmtId="0" fontId="16" fillId="0" borderId="19" xfId="0" applyFont="1" applyBorder="1" applyAlignment="1">
      <alignment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0" fontId="16" fillId="0" borderId="13" xfId="0" applyFont="1" applyBorder="1" applyAlignment="1">
      <alignment vertical="center" wrapText="1"/>
    </xf>
    <xf numFmtId="0" fontId="16" fillId="0" borderId="12" xfId="0" applyFont="1" applyBorder="1" applyAlignment="1">
      <alignment vertical="center" wrapText="1"/>
    </xf>
    <xf numFmtId="0" fontId="16" fillId="0" borderId="46" xfId="0" applyFont="1" applyBorder="1" applyAlignment="1">
      <alignment vertical="center" wrapText="1"/>
    </xf>
    <xf numFmtId="0" fontId="16" fillId="0" borderId="47" xfId="0" applyFont="1" applyBorder="1" applyAlignment="1">
      <alignment vertical="center" wrapText="1"/>
    </xf>
    <xf numFmtId="0" fontId="0" fillId="0" borderId="47" xfId="0" applyBorder="1" applyAlignment="1" applyProtection="1">
      <alignment vertical="center" wrapText="1"/>
      <protection locked="0"/>
    </xf>
    <xf numFmtId="0" fontId="0" fillId="0" borderId="37" xfId="0" applyBorder="1" applyAlignment="1" applyProtection="1">
      <alignment vertical="center" wrapText="1"/>
      <protection locked="0"/>
    </xf>
    <xf numFmtId="175" fontId="46" fillId="11" borderId="143" xfId="0" applyNumberFormat="1" applyFont="1" applyFill="1" applyBorder="1" applyAlignment="1">
      <alignment horizontal="left" vertical="center"/>
    </xf>
    <xf numFmtId="0" fontId="0" fillId="0" borderId="121" xfId="0" applyBorder="1" applyAlignment="1" applyProtection="1">
      <alignment vertical="center" wrapText="1"/>
      <protection locked="0"/>
    </xf>
    <xf numFmtId="0" fontId="0" fillId="0" borderId="51" xfId="0" applyBorder="1" applyAlignment="1" applyProtection="1">
      <alignment vertical="center" wrapText="1"/>
      <protection locked="0"/>
    </xf>
    <xf numFmtId="0" fontId="16" fillId="0" borderId="142" xfId="0" applyFont="1" applyBorder="1" applyAlignment="1">
      <alignment vertical="center" wrapText="1"/>
    </xf>
    <xf numFmtId="0" fontId="16" fillId="0" borderId="143" xfId="0" applyFont="1" applyBorder="1" applyAlignment="1">
      <alignment vertical="center" wrapText="1"/>
    </xf>
    <xf numFmtId="0" fontId="16" fillId="0" borderId="45" xfId="0" applyFont="1" applyBorder="1" applyAlignment="1">
      <alignment vertical="center" wrapText="1"/>
    </xf>
    <xf numFmtId="0" fontId="16" fillId="0" borderId="38" xfId="0" applyFont="1" applyBorder="1" applyAlignment="1">
      <alignment vertical="center" wrapText="1"/>
    </xf>
    <xf numFmtId="0" fontId="16" fillId="0" borderId="39" xfId="0" applyFont="1" applyBorder="1" applyAlignment="1">
      <alignment vertical="center" wrapText="1"/>
    </xf>
    <xf numFmtId="0" fontId="0" fillId="0" borderId="39" xfId="0" applyBorder="1" applyAlignment="1" applyProtection="1">
      <alignment vertical="center" wrapText="1"/>
      <protection locked="0"/>
    </xf>
    <xf numFmtId="0" fontId="0" fillId="0" borderId="35" xfId="0" applyBorder="1" applyAlignment="1" applyProtection="1">
      <alignment vertical="center" wrapText="1"/>
      <protection locked="0"/>
    </xf>
    <xf numFmtId="0" fontId="35" fillId="6" borderId="3" xfId="0" applyFont="1" applyFill="1" applyBorder="1" applyAlignment="1">
      <alignment horizontal="center" vertical="center"/>
    </xf>
    <xf numFmtId="0" fontId="52" fillId="3" borderId="19" xfId="0" applyFont="1" applyFill="1" applyBorder="1" applyAlignment="1">
      <alignment horizontal="center" vertical="center"/>
    </xf>
    <xf numFmtId="0" fontId="52" fillId="3" borderId="20" xfId="0" applyFont="1" applyFill="1" applyBorder="1" applyAlignment="1">
      <alignment horizontal="center" vertical="center"/>
    </xf>
    <xf numFmtId="0" fontId="52" fillId="3" borderId="22" xfId="0" applyFont="1" applyFill="1" applyBorder="1" applyAlignment="1">
      <alignment horizontal="center" vertical="center"/>
    </xf>
    <xf numFmtId="0" fontId="16" fillId="9" borderId="23" xfId="0" applyFont="1" applyFill="1" applyBorder="1" applyAlignment="1">
      <alignment horizontal="center" vertical="center" wrapText="1"/>
    </xf>
    <xf numFmtId="0" fontId="16" fillId="9" borderId="24"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6" fillId="9" borderId="26" xfId="0" applyFont="1" applyFill="1" applyBorder="1" applyAlignment="1">
      <alignment horizontal="center" vertical="center" wrapText="1"/>
    </xf>
    <xf numFmtId="0" fontId="16" fillId="9" borderId="0" xfId="0" applyFont="1" applyFill="1" applyAlignment="1">
      <alignment horizontal="center" vertical="center" wrapText="1"/>
    </xf>
    <xf numFmtId="0" fontId="16" fillId="9" borderId="27" xfId="0" applyFont="1" applyFill="1" applyBorder="1" applyAlignment="1">
      <alignment horizontal="center" vertical="center" wrapText="1"/>
    </xf>
    <xf numFmtId="0" fontId="16" fillId="9" borderId="28"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23" fillId="6" borderId="3" xfId="1" applyFont="1" applyFill="1" applyBorder="1" applyAlignment="1">
      <alignment horizontal="center" vertical="center"/>
    </xf>
    <xf numFmtId="0" fontId="23" fillId="6" borderId="0" xfId="1" applyFont="1" applyFill="1" applyAlignment="1">
      <alignment horizontal="center" vertical="center"/>
    </xf>
    <xf numFmtId="0" fontId="16" fillId="6" borderId="6" xfId="0" applyFont="1" applyFill="1" applyBorder="1" applyAlignment="1">
      <alignment horizontal="center" vertical="center" wrapText="1"/>
    </xf>
    <xf numFmtId="0" fontId="16" fillId="6" borderId="133" xfId="0" applyFont="1" applyFill="1" applyBorder="1" applyAlignment="1">
      <alignment horizontal="center" vertical="center" wrapText="1"/>
    </xf>
    <xf numFmtId="0" fontId="16" fillId="6" borderId="139" xfId="0" applyFont="1" applyFill="1" applyBorder="1" applyAlignment="1">
      <alignment horizontal="center" vertical="center" wrapText="1"/>
    </xf>
    <xf numFmtId="0" fontId="16" fillId="6" borderId="141"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67" xfId="0" applyFont="1" applyFill="1" applyBorder="1" applyAlignment="1">
      <alignment horizontal="center" vertical="center" wrapText="1"/>
    </xf>
    <xf numFmtId="0" fontId="16" fillId="6" borderId="87" xfId="0" applyFont="1" applyFill="1" applyBorder="1" applyAlignment="1">
      <alignment horizontal="center" vertical="center" wrapText="1"/>
    </xf>
  </cellXfs>
  <cellStyles count="23">
    <cellStyle name="Comma 2" xfId="2" xr:uid="{00000000-0005-0000-0000-000000000000}"/>
    <cellStyle name="Comma 2 2" xfId="20" xr:uid="{00000000-0005-0000-0000-000001000000}"/>
    <cellStyle name="Currency 2" xfId="3" xr:uid="{00000000-0005-0000-0000-000002000000}"/>
    <cellStyle name="Currency 2 2" xfId="21" xr:uid="{00000000-0005-0000-0000-000003000000}"/>
    <cellStyle name="Followed Hyperlink" xfId="4" builtinId="9" customBuiltin="1"/>
    <cellStyle name="Hyperlink" xfId="5" builtinId="8"/>
    <cellStyle name="Normal" xfId="0" builtinId="0"/>
    <cellStyle name="Normal 2" xfId="6" xr:uid="{00000000-0005-0000-0000-000007000000}"/>
    <cellStyle name="Normal 2 2" xfId="10" xr:uid="{00000000-0005-0000-0000-000008000000}"/>
    <cellStyle name="Normal 2 3" xfId="19" xr:uid="{00000000-0005-0000-0000-000009000000}"/>
    <cellStyle name="Normal 3" xfId="1" xr:uid="{00000000-0005-0000-0000-00000A000000}"/>
    <cellStyle name="Normal 3 2" xfId="12" xr:uid="{00000000-0005-0000-0000-00000B000000}"/>
    <cellStyle name="Normal 4" xfId="13" xr:uid="{00000000-0005-0000-0000-00000C000000}"/>
    <cellStyle name="Normal 4 2" xfId="11" xr:uid="{00000000-0005-0000-0000-00000D000000}"/>
    <cellStyle name="Normal 4 2 2" xfId="14" xr:uid="{00000000-0005-0000-0000-00000E000000}"/>
    <cellStyle name="Normal 4 3" xfId="15" xr:uid="{00000000-0005-0000-0000-00000F000000}"/>
    <cellStyle name="Normal 5" xfId="16" xr:uid="{00000000-0005-0000-0000-000010000000}"/>
    <cellStyle name="Normal 5 2" xfId="17" xr:uid="{00000000-0005-0000-0000-000011000000}"/>
    <cellStyle name="Normal 6" xfId="18" xr:uid="{00000000-0005-0000-0000-000012000000}"/>
    <cellStyle name="Percent" xfId="9" builtinId="5"/>
    <cellStyle name="Percent 2" xfId="8" xr:uid="{00000000-0005-0000-0000-000014000000}"/>
    <cellStyle name="Percent 3" xfId="7" xr:uid="{00000000-0005-0000-0000-000015000000}"/>
    <cellStyle name="Percent 3 2" xfId="22" xr:uid="{00000000-0005-0000-0000-000016000000}"/>
  </cellStyles>
  <dxfs count="322">
    <dxf>
      <numFmt numFmtId="184" formatCode="\-"/>
    </dxf>
    <dxf>
      <numFmt numFmtId="184"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font>
      <fill>
        <patternFill>
          <bgColor theme="9" tint="-0.24994659260841701"/>
        </patternFill>
      </fill>
    </dxf>
    <dxf>
      <font>
        <b/>
        <i val="0"/>
        <color auto="1"/>
      </font>
      <fill>
        <patternFill>
          <bgColor rgb="FF92D050"/>
        </patternFill>
      </fill>
    </dxf>
    <dxf>
      <font>
        <color theme="1" tint="0.499984740745262"/>
      </font>
      <fill>
        <patternFill patternType="solid">
          <bgColor theme="1" tint="0.499984740745262"/>
        </patternFill>
      </fill>
    </dxf>
    <dxf>
      <fill>
        <patternFill>
          <bgColor rgb="FFFFFF00"/>
        </patternFill>
      </fill>
    </dxf>
    <dxf>
      <font>
        <color theme="1" tint="0.499984740745262"/>
      </font>
      <fill>
        <patternFill patternType="solid">
          <bgColor theme="1" tint="0.499984740745262"/>
        </patternFill>
      </fill>
    </dxf>
    <dxf>
      <fill>
        <patternFill>
          <bgColor rgb="FFFFFF00"/>
        </patternFill>
      </fill>
    </dxf>
    <dxf>
      <fill>
        <patternFill patternType="darkUp">
          <bgColor theme="0"/>
        </patternFill>
      </fill>
    </dxf>
    <dxf>
      <fill>
        <patternFill>
          <bgColor rgb="FFFFFF00"/>
        </patternFill>
      </fill>
    </dxf>
    <dxf>
      <fill>
        <patternFill>
          <bgColor rgb="FFFFFF00"/>
        </patternFill>
      </fill>
    </dxf>
    <dxf>
      <fill>
        <patternFill patternType="darkUp">
          <bgColor theme="0"/>
        </patternFill>
      </fill>
    </dxf>
    <dxf>
      <fill>
        <patternFill>
          <bgColor rgb="FFFFFF00"/>
        </patternFill>
      </fill>
    </dxf>
    <dxf>
      <numFmt numFmtId="1" formatCode="0"/>
    </dxf>
    <dxf>
      <numFmt numFmtId="3" formatCode="#,##0"/>
    </dxf>
    <dxf>
      <numFmt numFmtId="165" formatCode="#,##0.0"/>
    </dxf>
    <dxf>
      <numFmt numFmtId="4" formatCode="#,##0.00"/>
    </dxf>
    <dxf>
      <numFmt numFmtId="182" formatCode="#,##0.000"/>
    </dxf>
    <dxf>
      <font>
        <color theme="0"/>
      </font>
    </dxf>
    <dxf>
      <font>
        <color theme="0"/>
      </font>
    </dxf>
    <dxf>
      <numFmt numFmtId="184" formatCode="\-"/>
    </dxf>
    <dxf>
      <numFmt numFmtId="3" formatCode="#,##0"/>
    </dxf>
    <dxf>
      <numFmt numFmtId="15" formatCode="0.00E+00"/>
    </dxf>
    <dxf>
      <numFmt numFmtId="185" formatCode="\A##\-##\-###\-###"/>
    </dxf>
    <dxf>
      <font>
        <color theme="0"/>
      </font>
      <fill>
        <patternFill patternType="none">
          <bgColor auto="1"/>
        </patternFill>
      </fill>
    </dxf>
    <dxf>
      <numFmt numFmtId="15" formatCode="0.00E+00"/>
    </dxf>
    <dxf>
      <numFmt numFmtId="3" formatCode="#,##0"/>
    </dxf>
    <dxf>
      <numFmt numFmtId="15" formatCode="0.00E+00"/>
    </dxf>
    <dxf>
      <numFmt numFmtId="184" formatCode="\-"/>
    </dxf>
    <dxf>
      <fill>
        <patternFill>
          <bgColor theme="0" tint="-0.34998626667073579"/>
        </patternFill>
      </fill>
    </dxf>
    <dxf>
      <fill>
        <patternFill>
          <bgColor rgb="FFFFC000"/>
        </patternFill>
      </fill>
    </dxf>
    <dxf>
      <fill>
        <patternFill>
          <bgColor rgb="FFFFFF00"/>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5" formatCode="0.00E+00"/>
    </dxf>
    <dxf>
      <numFmt numFmtId="3" formatCode="#,##0"/>
    </dxf>
    <dxf>
      <numFmt numFmtId="15" formatCode="0.00E+00"/>
    </dxf>
    <dxf>
      <numFmt numFmtId="184" formatCode="\-"/>
    </dxf>
    <dxf>
      <fill>
        <patternFill>
          <bgColor rgb="FFFFFF00"/>
        </patternFill>
      </fill>
    </dxf>
    <dxf>
      <fill>
        <patternFill>
          <bgColor rgb="FFFFFF00"/>
        </patternFill>
      </fill>
    </dxf>
    <dxf>
      <fill>
        <patternFill>
          <bgColor rgb="FFFFFF00"/>
        </patternFill>
      </fill>
    </dxf>
    <dxf>
      <numFmt numFmtId="185" formatCode="\A##\-##\-###\-###"/>
    </dxf>
    <dxf>
      <font>
        <color theme="0"/>
      </font>
      <fill>
        <patternFill>
          <bgColor rgb="FFFF0000"/>
        </patternFill>
      </fill>
    </dxf>
    <dxf>
      <fill>
        <patternFill>
          <bgColor rgb="FFFFFF00"/>
        </patternFill>
      </fill>
    </dxf>
    <dxf>
      <font>
        <color theme="1" tint="0.24994659260841701"/>
      </font>
      <fill>
        <patternFill>
          <bgColor theme="1" tint="0.24994659260841701"/>
        </patternFill>
      </fill>
    </dxf>
    <dxf>
      <font>
        <color theme="1" tint="0.24994659260841701"/>
      </font>
      <fill>
        <patternFill>
          <bgColor theme="1" tint="0.24994659260841701"/>
        </patternFill>
      </fill>
    </dxf>
    <dxf>
      <fill>
        <patternFill>
          <bgColor rgb="FFFFFF00"/>
        </patternFill>
      </fill>
    </dxf>
    <dxf>
      <font>
        <color theme="0"/>
      </font>
    </dxf>
    <dxf>
      <fill>
        <patternFill>
          <bgColor rgb="FFFFC000"/>
        </patternFill>
      </fill>
    </dxf>
    <dxf>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color auto="1"/>
      </font>
      <fill>
        <patternFill>
          <bgColor rgb="FF92D050"/>
        </patternFill>
      </fill>
    </dxf>
    <dxf>
      <font>
        <color theme="1" tint="0.499984740745262"/>
      </font>
      <fill>
        <patternFill>
          <bgColor theme="1" tint="0.499984740745262"/>
        </patternFill>
      </fill>
    </dxf>
    <dxf>
      <fill>
        <patternFill>
          <bgColor rgb="FFFFC000"/>
        </patternFill>
      </fill>
    </dxf>
    <dxf>
      <font>
        <color theme="1" tint="0.499984740745262"/>
      </font>
      <fill>
        <patternFill>
          <bgColor theme="1" tint="0.499984740745262"/>
        </patternFill>
      </fill>
    </dxf>
    <dxf>
      <fill>
        <patternFill>
          <bgColor rgb="FFFFFF00"/>
        </patternFill>
      </fill>
    </dxf>
    <dxf>
      <fill>
        <patternFill>
          <bgColor rgb="FFFFC000"/>
        </patternFill>
      </fill>
    </dxf>
    <dxf>
      <fill>
        <patternFill>
          <bgColor rgb="FFFFFF00"/>
        </patternFill>
      </fill>
    </dxf>
    <dxf>
      <fill>
        <patternFill>
          <bgColor theme="1"/>
        </patternFill>
      </fill>
    </dxf>
    <dxf>
      <fill>
        <patternFill>
          <bgColor theme="1"/>
        </patternFill>
      </fill>
    </dxf>
    <dxf>
      <fill>
        <patternFill>
          <bgColor rgb="FFFFC000"/>
        </patternFill>
      </fill>
    </dxf>
    <dxf>
      <fill>
        <patternFill>
          <bgColor rgb="FFFFFF00"/>
        </patternFill>
      </fill>
    </dxf>
    <dxf>
      <numFmt numFmtId="1" formatCode="0"/>
    </dxf>
    <dxf>
      <numFmt numFmtId="184" formatCode="\-"/>
    </dxf>
    <dxf>
      <numFmt numFmtId="3" formatCode="#,##0"/>
    </dxf>
    <dxf>
      <numFmt numFmtId="165" formatCode="#,##0.0"/>
    </dxf>
    <dxf>
      <numFmt numFmtId="4" formatCode="#,##0.00"/>
    </dxf>
    <dxf>
      <numFmt numFmtId="182" formatCode="#,##0.000"/>
    </dxf>
    <dxf>
      <numFmt numFmtId="184" formatCode="\-"/>
    </dxf>
    <dxf>
      <numFmt numFmtId="3" formatCode="#,##0"/>
    </dxf>
    <dxf>
      <numFmt numFmtId="186" formatCode="0.0E+00"/>
    </dxf>
    <dxf>
      <numFmt numFmtId="184" formatCode="\-"/>
    </dxf>
    <dxf>
      <numFmt numFmtId="3" formatCode="#,##0"/>
    </dxf>
    <dxf>
      <numFmt numFmtId="15" formatCode="0.00E+00"/>
    </dxf>
    <dxf>
      <numFmt numFmtId="15" formatCode="0.00E+00"/>
    </dxf>
    <dxf>
      <numFmt numFmtId="3" formatCode="#,##0"/>
    </dxf>
    <dxf>
      <numFmt numFmtId="15" formatCode="0.00E+00"/>
    </dxf>
    <dxf>
      <font>
        <color theme="0"/>
      </font>
    </dxf>
    <dxf>
      <font>
        <color theme="0"/>
      </font>
    </dxf>
    <dxf>
      <numFmt numFmtId="176" formatCode="0.0000"/>
    </dxf>
    <dxf>
      <numFmt numFmtId="3" formatCode="#,##0"/>
    </dxf>
    <dxf>
      <fill>
        <patternFill>
          <bgColor rgb="FFFFC000"/>
        </patternFill>
      </fill>
    </dxf>
    <dxf>
      <numFmt numFmtId="185" formatCode="\A##\-##\-###\-###"/>
    </dxf>
    <dxf>
      <fill>
        <patternFill>
          <bgColor rgb="FFFFFF00"/>
        </patternFill>
      </fill>
    </dxf>
    <dxf>
      <numFmt numFmtId="184" formatCode="\-"/>
    </dxf>
    <dxf>
      <font>
        <color theme="0"/>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34998626667073579"/>
        </patternFill>
      </fill>
    </dxf>
    <dxf>
      <fill>
        <patternFill patternType="darkUp">
          <bgColor theme="0"/>
        </patternFill>
      </fill>
    </dxf>
    <dxf>
      <fill>
        <patternFill patternType="darkUp">
          <bgColor theme="0"/>
        </patternFill>
      </fill>
    </dxf>
    <dxf>
      <fill>
        <patternFill patternType="darkUp">
          <bgColor theme="0"/>
        </patternFill>
      </fill>
    </dxf>
    <dxf>
      <fill>
        <patternFill patternType="darkUp">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FF00"/>
        </patternFill>
      </fill>
    </dxf>
    <dxf>
      <fill>
        <patternFill>
          <bgColor rgb="FFFFFF00"/>
        </patternFill>
      </fill>
    </dxf>
    <dxf>
      <font>
        <color theme="0"/>
      </font>
      <fill>
        <patternFill>
          <bgColor theme="0"/>
        </patternFill>
      </fill>
    </dxf>
    <dxf>
      <fill>
        <patternFill>
          <bgColor rgb="FFFFFF00"/>
        </patternFill>
      </fill>
    </dxf>
    <dxf>
      <font>
        <color theme="1"/>
      </font>
    </dxf>
    <dxf>
      <font>
        <color theme="1"/>
      </font>
      <fill>
        <patternFill>
          <bgColor theme="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ont>
        <b/>
        <i val="0"/>
        <color theme="0"/>
      </font>
      <fill>
        <patternFill>
          <bgColor theme="9" tint="-0.24994659260841701"/>
        </patternFill>
      </fill>
    </dxf>
    <dxf>
      <font>
        <color theme="1"/>
      </font>
      <fill>
        <patternFill>
          <bgColor theme="8" tint="0.39994506668294322"/>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00"/>
        </patternFill>
      </fill>
    </dxf>
    <dxf>
      <font>
        <color theme="0"/>
      </font>
    </dxf>
    <dxf>
      <font>
        <color theme="8" tint="0.39994506668294322"/>
      </font>
    </dxf>
    <dxf>
      <font>
        <color theme="8" tint="0.39994506668294322"/>
      </font>
    </dxf>
    <dxf>
      <font>
        <color theme="8" tint="0.39994506668294322"/>
      </font>
    </dxf>
    <dxf>
      <font>
        <color theme="8" tint="0.39994506668294322"/>
      </font>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theme="0"/>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ont>
        <color auto="1"/>
      </font>
      <fill>
        <patternFill patternType="darkUp"/>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S$13"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N$3" lockText="1"/>
</file>

<file path=xl/ctrlProps/ctrlProp101.xml><?xml version="1.0" encoding="utf-8"?>
<formControlPr xmlns="http://schemas.microsoft.com/office/spreadsheetml/2009/9/main" objectType="CheckBox" fmlaLink="$O$3" lockText="1"/>
</file>

<file path=xl/ctrlProps/ctrlProp102.xml><?xml version="1.0" encoding="utf-8"?>
<formControlPr xmlns="http://schemas.microsoft.com/office/spreadsheetml/2009/9/main" objectType="CheckBox" fmlaLink="$O$16" lockText="1"/>
</file>

<file path=xl/ctrlProps/ctrlProp103.xml><?xml version="1.0" encoding="utf-8"?>
<formControlPr xmlns="http://schemas.microsoft.com/office/spreadsheetml/2009/9/main" objectType="CheckBox" fmlaLink="$P$16" lockText="1"/>
</file>

<file path=xl/ctrlProps/ctrlProp104.xml><?xml version="1.0" encoding="utf-8"?>
<formControlPr xmlns="http://schemas.microsoft.com/office/spreadsheetml/2009/9/main" objectType="CheckBox" fmlaLink="$O$17" lockText="1"/>
</file>

<file path=xl/ctrlProps/ctrlProp105.xml><?xml version="1.0" encoding="utf-8"?>
<formControlPr xmlns="http://schemas.microsoft.com/office/spreadsheetml/2009/9/main" objectType="CheckBox" fmlaLink="$P$17" lockText="1"/>
</file>

<file path=xl/ctrlProps/ctrlProp106.xml><?xml version="1.0" encoding="utf-8"?>
<formControlPr xmlns="http://schemas.microsoft.com/office/spreadsheetml/2009/9/main" objectType="CheckBox" fmlaLink="$O$22" lockText="1"/>
</file>

<file path=xl/ctrlProps/ctrlProp107.xml><?xml version="1.0" encoding="utf-8"?>
<formControlPr xmlns="http://schemas.microsoft.com/office/spreadsheetml/2009/9/main" objectType="CheckBox" fmlaLink="$P$22" lockText="1"/>
</file>

<file path=xl/ctrlProps/ctrlProp108.xml><?xml version="1.0" encoding="utf-8"?>
<formControlPr xmlns="http://schemas.microsoft.com/office/spreadsheetml/2009/9/main" objectType="CheckBox" fmlaLink="$O$23" lockText="1"/>
</file>

<file path=xl/ctrlProps/ctrlProp109.xml><?xml version="1.0" encoding="utf-8"?>
<formControlPr xmlns="http://schemas.microsoft.com/office/spreadsheetml/2009/9/main" objectType="CheckBox" fmlaLink="$P$23"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fmlaLink="$O$28" lockText="1"/>
</file>

<file path=xl/ctrlProps/ctrlProp111.xml><?xml version="1.0" encoding="utf-8"?>
<formControlPr xmlns="http://schemas.microsoft.com/office/spreadsheetml/2009/9/main" objectType="CheckBox" fmlaLink="$P$28" lockText="1"/>
</file>

<file path=xl/ctrlProps/ctrlProp112.xml><?xml version="1.0" encoding="utf-8"?>
<formControlPr xmlns="http://schemas.microsoft.com/office/spreadsheetml/2009/9/main" objectType="CheckBox" fmlaLink="$O$29" lockText="1"/>
</file>

<file path=xl/ctrlProps/ctrlProp113.xml><?xml version="1.0" encoding="utf-8"?>
<formControlPr xmlns="http://schemas.microsoft.com/office/spreadsheetml/2009/9/main" objectType="CheckBox" fmlaLink="$P$29" lockText="1"/>
</file>

<file path=xl/ctrlProps/ctrlProp114.xml><?xml version="1.0" encoding="utf-8"?>
<formControlPr xmlns="http://schemas.microsoft.com/office/spreadsheetml/2009/9/main" objectType="CheckBox" fmlaLink="$O$34" lockText="1"/>
</file>

<file path=xl/ctrlProps/ctrlProp115.xml><?xml version="1.0" encoding="utf-8"?>
<formControlPr xmlns="http://schemas.microsoft.com/office/spreadsheetml/2009/9/main" objectType="CheckBox" fmlaLink="$P$34" lockText="1"/>
</file>

<file path=xl/ctrlProps/ctrlProp116.xml><?xml version="1.0" encoding="utf-8"?>
<formControlPr xmlns="http://schemas.microsoft.com/office/spreadsheetml/2009/9/main" objectType="CheckBox" fmlaLink="$O$35" lockText="1"/>
</file>

<file path=xl/ctrlProps/ctrlProp117.xml><?xml version="1.0" encoding="utf-8"?>
<formControlPr xmlns="http://schemas.microsoft.com/office/spreadsheetml/2009/9/main" objectType="CheckBox" fmlaLink="$P$35" lockText="1"/>
</file>

<file path=xl/ctrlProps/ctrlProp118.xml><?xml version="1.0" encoding="utf-8"?>
<formControlPr xmlns="http://schemas.microsoft.com/office/spreadsheetml/2009/9/main" objectType="CheckBox" fmlaLink="$O$40" lockText="1"/>
</file>

<file path=xl/ctrlProps/ctrlProp119.xml><?xml version="1.0" encoding="utf-8"?>
<formControlPr xmlns="http://schemas.microsoft.com/office/spreadsheetml/2009/9/main" objectType="CheckBox" fmlaLink="$P$40"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fmlaLink="$O$41" lockText="1"/>
</file>

<file path=xl/ctrlProps/ctrlProp121.xml><?xml version="1.0" encoding="utf-8"?>
<formControlPr xmlns="http://schemas.microsoft.com/office/spreadsheetml/2009/9/main" objectType="CheckBox" fmlaLink="$P$41" lockText="1"/>
</file>

<file path=xl/ctrlProps/ctrlProp122.xml><?xml version="1.0" encoding="utf-8"?>
<formControlPr xmlns="http://schemas.microsoft.com/office/spreadsheetml/2009/9/main" objectType="CheckBox" fmlaLink="$M$11" lockText="1"/>
</file>

<file path=xl/ctrlProps/ctrlProp123.xml><?xml version="1.0" encoding="utf-8"?>
<formControlPr xmlns="http://schemas.microsoft.com/office/spreadsheetml/2009/9/main" objectType="CheckBox" fmlaLink="$N$11" lockText="1"/>
</file>

<file path=xl/ctrlProps/ctrlProp124.xml><?xml version="1.0" encoding="utf-8"?>
<formControlPr xmlns="http://schemas.microsoft.com/office/spreadsheetml/2009/9/main" objectType="CheckBox" fmlaLink="$M$27" lockText="1"/>
</file>

<file path=xl/ctrlProps/ctrlProp125.xml><?xml version="1.0" encoding="utf-8"?>
<formControlPr xmlns="http://schemas.microsoft.com/office/spreadsheetml/2009/9/main" objectType="CheckBox" fmlaLink="$N$27" lockText="1"/>
</file>

<file path=xl/ctrlProps/ctrlProp126.xml><?xml version="1.0" encoding="utf-8"?>
<formControlPr xmlns="http://schemas.microsoft.com/office/spreadsheetml/2009/9/main" objectType="CheckBox" fmlaLink="$M$5" lockText="1"/>
</file>

<file path=xl/ctrlProps/ctrlProp127.xml><?xml version="1.0" encoding="utf-8"?>
<formControlPr xmlns="http://schemas.microsoft.com/office/spreadsheetml/2009/9/main" objectType="CheckBox" fmlaLink="$N$5" lockText="1"/>
</file>

<file path=xl/ctrlProps/ctrlProp128.xml><?xml version="1.0" encoding="utf-8"?>
<formControlPr xmlns="http://schemas.microsoft.com/office/spreadsheetml/2009/9/main" objectType="CheckBox" fmlaLink="$M$6" lockText="1"/>
</file>

<file path=xl/ctrlProps/ctrlProp129.xml><?xml version="1.0" encoding="utf-8"?>
<formControlPr xmlns="http://schemas.microsoft.com/office/spreadsheetml/2009/9/main" objectType="CheckBox" fmlaLink="$N$6"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fmlaLink="$M$16" lockText="1"/>
</file>

<file path=xl/ctrlProps/ctrlProp131.xml><?xml version="1.0" encoding="utf-8"?>
<formControlPr xmlns="http://schemas.microsoft.com/office/spreadsheetml/2009/9/main" objectType="CheckBox" fmlaLink="$N$16" lockText="1"/>
</file>

<file path=xl/ctrlProps/ctrlProp132.xml><?xml version="1.0" encoding="utf-8"?>
<formControlPr xmlns="http://schemas.microsoft.com/office/spreadsheetml/2009/9/main" objectType="CheckBox" fmlaLink="$M$21" lockText="1"/>
</file>

<file path=xl/ctrlProps/ctrlProp133.xml><?xml version="1.0" encoding="utf-8"?>
<formControlPr xmlns="http://schemas.microsoft.com/office/spreadsheetml/2009/9/main" objectType="CheckBox" fmlaLink="$N$21" lockText="1"/>
</file>

<file path=xl/ctrlProps/ctrlProp134.xml><?xml version="1.0" encoding="utf-8"?>
<formControlPr xmlns="http://schemas.microsoft.com/office/spreadsheetml/2009/9/main" objectType="CheckBox" fmlaLink="$Q$22" lockText="1"/>
</file>

<file path=xl/ctrlProps/ctrlProp135.xml><?xml version="1.0" encoding="utf-8"?>
<formControlPr xmlns="http://schemas.microsoft.com/office/spreadsheetml/2009/9/main" objectType="CheckBox" fmlaLink="$R$22" lockText="1"/>
</file>

<file path=xl/ctrlProps/ctrlProp136.xml><?xml version="1.0" encoding="utf-8"?>
<formControlPr xmlns="http://schemas.microsoft.com/office/spreadsheetml/2009/9/main" objectType="CheckBox" fmlaLink="$Q$27" lockText="1"/>
</file>

<file path=xl/ctrlProps/ctrlProp137.xml><?xml version="1.0" encoding="utf-8"?>
<formControlPr xmlns="http://schemas.microsoft.com/office/spreadsheetml/2009/9/main" objectType="CheckBox" fmlaLink="$R$27" lockText="1"/>
</file>

<file path=xl/ctrlProps/ctrlProp138.xml><?xml version="1.0" encoding="utf-8"?>
<formControlPr xmlns="http://schemas.microsoft.com/office/spreadsheetml/2009/9/main" objectType="CheckBox" fmlaLink="$N$25" lockText="1"/>
</file>

<file path=xl/ctrlProps/ctrlProp139.xml><?xml version="1.0" encoding="utf-8"?>
<formControlPr xmlns="http://schemas.microsoft.com/office/spreadsheetml/2009/9/main" objectType="CheckBox" fmlaLink="$O$25"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fmlaLink="$N$26" lockText="1"/>
</file>

<file path=xl/ctrlProps/ctrlProp141.xml><?xml version="1.0" encoding="utf-8"?>
<formControlPr xmlns="http://schemas.microsoft.com/office/spreadsheetml/2009/9/main" objectType="CheckBox" fmlaLink="$O$26" lockText="1"/>
</file>

<file path=xl/ctrlProps/ctrlProp142.xml><?xml version="1.0" encoding="utf-8"?>
<formControlPr xmlns="http://schemas.microsoft.com/office/spreadsheetml/2009/9/main" objectType="CheckBox" fmlaLink="$N$27" lockText="1"/>
</file>

<file path=xl/ctrlProps/ctrlProp143.xml><?xml version="1.0" encoding="utf-8"?>
<formControlPr xmlns="http://schemas.microsoft.com/office/spreadsheetml/2009/9/main" objectType="CheckBox" fmlaLink="$O$27" lockText="1"/>
</file>

<file path=xl/ctrlProps/ctrlProp144.xml><?xml version="1.0" encoding="utf-8"?>
<formControlPr xmlns="http://schemas.microsoft.com/office/spreadsheetml/2009/9/main" objectType="CheckBox" checked="Checked" fmlaLink="$N$28" lockText="1"/>
</file>

<file path=xl/ctrlProps/ctrlProp145.xml><?xml version="1.0" encoding="utf-8"?>
<formControlPr xmlns="http://schemas.microsoft.com/office/spreadsheetml/2009/9/main" objectType="CheckBox" fmlaLink="$O$28" lockText="1"/>
</file>

<file path=xl/ctrlProps/ctrlProp146.xml><?xml version="1.0" encoding="utf-8"?>
<formControlPr xmlns="http://schemas.microsoft.com/office/spreadsheetml/2009/9/main" objectType="CheckBox" checked="Checked" fmlaLink="$N$29" lockText="1"/>
</file>

<file path=xl/ctrlProps/ctrlProp147.xml><?xml version="1.0" encoding="utf-8"?>
<formControlPr xmlns="http://schemas.microsoft.com/office/spreadsheetml/2009/9/main" objectType="CheckBox" fmlaLink="$O$29" lockText="1"/>
</file>

<file path=xl/ctrlProps/ctrlProp148.xml><?xml version="1.0" encoding="utf-8"?>
<formControlPr xmlns="http://schemas.microsoft.com/office/spreadsheetml/2009/9/main" objectType="CheckBox" fmlaLink="$N$30" lockText="1"/>
</file>

<file path=xl/ctrlProps/ctrlProp149.xml><?xml version="1.0" encoding="utf-8"?>
<formControlPr xmlns="http://schemas.microsoft.com/office/spreadsheetml/2009/9/main" objectType="CheckBox" fmlaLink="$O$30"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fmlaLink="$N$31" lockText="1"/>
</file>

<file path=xl/ctrlProps/ctrlProp151.xml><?xml version="1.0" encoding="utf-8"?>
<formControlPr xmlns="http://schemas.microsoft.com/office/spreadsheetml/2009/9/main" objectType="CheckBox" fmlaLink="$O$31" lockText="1"/>
</file>

<file path=xl/ctrlProps/ctrlProp152.xml><?xml version="1.0" encoding="utf-8"?>
<formControlPr xmlns="http://schemas.microsoft.com/office/spreadsheetml/2009/9/main" objectType="CheckBox" fmlaLink="$N$32" lockText="1"/>
</file>

<file path=xl/ctrlProps/ctrlProp153.xml><?xml version="1.0" encoding="utf-8"?>
<formControlPr xmlns="http://schemas.microsoft.com/office/spreadsheetml/2009/9/main" objectType="CheckBox" fmlaLink="$O$32" lockText="1"/>
</file>

<file path=xl/ctrlProps/ctrlProp154.xml><?xml version="1.0" encoding="utf-8"?>
<formControlPr xmlns="http://schemas.microsoft.com/office/spreadsheetml/2009/9/main" objectType="CheckBox" fmlaLink="$N$33" lockText="1"/>
</file>

<file path=xl/ctrlProps/ctrlProp155.xml><?xml version="1.0" encoding="utf-8"?>
<formControlPr xmlns="http://schemas.microsoft.com/office/spreadsheetml/2009/9/main" objectType="CheckBox" fmlaLink="$O$33" lockText="1"/>
</file>

<file path=xl/ctrlProps/ctrlProp156.xml><?xml version="1.0" encoding="utf-8"?>
<formControlPr xmlns="http://schemas.microsoft.com/office/spreadsheetml/2009/9/main" objectType="CheckBox" fmlaLink="$N$34" lockText="1"/>
</file>

<file path=xl/ctrlProps/ctrlProp157.xml><?xml version="1.0" encoding="utf-8"?>
<formControlPr xmlns="http://schemas.microsoft.com/office/spreadsheetml/2009/9/main" objectType="CheckBox" fmlaLink="$O$34" lockText="1"/>
</file>

<file path=xl/ctrlProps/ctrlProp158.xml><?xml version="1.0" encoding="utf-8"?>
<formControlPr xmlns="http://schemas.microsoft.com/office/spreadsheetml/2009/9/main" objectType="CheckBox" fmlaLink="$N$35" lockText="1"/>
</file>

<file path=xl/ctrlProps/ctrlProp159.xml><?xml version="1.0" encoding="utf-8"?>
<formControlPr xmlns="http://schemas.microsoft.com/office/spreadsheetml/2009/9/main" objectType="CheckBox" fmlaLink="$O$35" lockText="1"/>
</file>

<file path=xl/ctrlProps/ctrlProp16.xml><?xml version="1.0" encoding="utf-8"?>
<formControlPr xmlns="http://schemas.microsoft.com/office/spreadsheetml/2009/9/main" objectType="CheckBox" checked="Checked" lockText="1"/>
</file>

<file path=xl/ctrlProps/ctrlProp160.xml><?xml version="1.0" encoding="utf-8"?>
<formControlPr xmlns="http://schemas.microsoft.com/office/spreadsheetml/2009/9/main" objectType="CheckBox" fmlaLink="$N$36" lockText="1"/>
</file>

<file path=xl/ctrlProps/ctrlProp161.xml><?xml version="1.0" encoding="utf-8"?>
<formControlPr xmlns="http://schemas.microsoft.com/office/spreadsheetml/2009/9/main" objectType="CheckBox" fmlaLink="$O$36" lockText="1"/>
</file>

<file path=xl/ctrlProps/ctrlProp162.xml><?xml version="1.0" encoding="utf-8"?>
<formControlPr xmlns="http://schemas.microsoft.com/office/spreadsheetml/2009/9/main" objectType="CheckBox" fmlaLink="$N$37" lockText="1"/>
</file>

<file path=xl/ctrlProps/ctrlProp163.xml><?xml version="1.0" encoding="utf-8"?>
<formControlPr xmlns="http://schemas.microsoft.com/office/spreadsheetml/2009/9/main" objectType="CheckBox" fmlaLink="$O$37" lockText="1"/>
</file>

<file path=xl/ctrlProps/ctrlProp164.xml><?xml version="1.0" encoding="utf-8"?>
<formControlPr xmlns="http://schemas.microsoft.com/office/spreadsheetml/2009/9/main" objectType="CheckBox" fmlaLink="$N$38" lockText="1"/>
</file>

<file path=xl/ctrlProps/ctrlProp165.xml><?xml version="1.0" encoding="utf-8"?>
<formControlPr xmlns="http://schemas.microsoft.com/office/spreadsheetml/2009/9/main" objectType="CheckBox" fmlaLink="$O$38" lockText="1"/>
</file>

<file path=xl/ctrlProps/ctrlProp166.xml><?xml version="1.0" encoding="utf-8"?>
<formControlPr xmlns="http://schemas.microsoft.com/office/spreadsheetml/2009/9/main" objectType="CheckBox" fmlaLink="$N$39" lockText="1"/>
</file>

<file path=xl/ctrlProps/ctrlProp167.xml><?xml version="1.0" encoding="utf-8"?>
<formControlPr xmlns="http://schemas.microsoft.com/office/spreadsheetml/2009/9/main" objectType="CheckBox" fmlaLink="$O$39" lockText="1"/>
</file>

<file path=xl/ctrlProps/ctrlProp168.xml><?xml version="1.0" encoding="utf-8"?>
<formControlPr xmlns="http://schemas.microsoft.com/office/spreadsheetml/2009/9/main" objectType="CheckBox" fmlaLink="$M$12" lockText="1"/>
</file>

<file path=xl/ctrlProps/ctrlProp169.xml><?xml version="1.0" encoding="utf-8"?>
<formControlPr xmlns="http://schemas.microsoft.com/office/spreadsheetml/2009/9/main" objectType="CheckBox" fmlaLink="$N$12" lockText="1"/>
</file>

<file path=xl/ctrlProps/ctrlProp17.xml><?xml version="1.0" encoding="utf-8"?>
<formControlPr xmlns="http://schemas.microsoft.com/office/spreadsheetml/2009/9/main" objectType="CheckBox" fmlaLink="$Q$24" lockText="1"/>
</file>

<file path=xl/ctrlProps/ctrlProp170.xml><?xml version="1.0" encoding="utf-8"?>
<formControlPr xmlns="http://schemas.microsoft.com/office/spreadsheetml/2009/9/main" objectType="CheckBox" fmlaLink="$N$14" lockText="1"/>
</file>

<file path=xl/ctrlProps/ctrlProp171.xml><?xml version="1.0" encoding="utf-8"?>
<formControlPr xmlns="http://schemas.microsoft.com/office/spreadsheetml/2009/9/main" objectType="CheckBox" fmlaLink="$O$14" lockText="1"/>
</file>

<file path=xl/ctrlProps/ctrlProp172.xml><?xml version="1.0" encoding="utf-8"?>
<formControlPr xmlns="http://schemas.microsoft.com/office/spreadsheetml/2009/9/main" objectType="CheckBox" fmlaLink="$N$9" lockText="1"/>
</file>

<file path=xl/ctrlProps/ctrlProp173.xml><?xml version="1.0" encoding="utf-8"?>
<formControlPr xmlns="http://schemas.microsoft.com/office/spreadsheetml/2009/9/main" objectType="CheckBox" fmlaLink="$O$9" lockText="1"/>
</file>

<file path=xl/ctrlProps/ctrlProp174.xml><?xml version="1.0" encoding="utf-8"?>
<formControlPr xmlns="http://schemas.microsoft.com/office/spreadsheetml/2009/9/main" objectType="CheckBox" fmlaLink="$S$9" lockText="1"/>
</file>

<file path=xl/ctrlProps/ctrlProp175.xml><?xml version="1.0" encoding="utf-8"?>
<formControlPr xmlns="http://schemas.microsoft.com/office/spreadsheetml/2009/9/main" objectType="CheckBox" fmlaLink="$T$9" lockText="1"/>
</file>

<file path=xl/ctrlProps/ctrlProp176.xml><?xml version="1.0" encoding="utf-8"?>
<formControlPr xmlns="http://schemas.microsoft.com/office/spreadsheetml/2009/9/main" objectType="CheckBox" fmlaLink="$N$11" lockText="1"/>
</file>

<file path=xl/ctrlProps/ctrlProp177.xml><?xml version="1.0" encoding="utf-8"?>
<formControlPr xmlns="http://schemas.microsoft.com/office/spreadsheetml/2009/9/main" objectType="CheckBox" fmlaLink="$O$11" lockText="1"/>
</file>

<file path=xl/ctrlProps/ctrlProp178.xml><?xml version="1.0" encoding="utf-8"?>
<formControlPr xmlns="http://schemas.microsoft.com/office/spreadsheetml/2009/9/main" objectType="CheckBox" fmlaLink="$N$15" lockText="1"/>
</file>

<file path=xl/ctrlProps/ctrlProp179.xml><?xml version="1.0" encoding="utf-8"?>
<formControlPr xmlns="http://schemas.microsoft.com/office/spreadsheetml/2009/9/main" objectType="CheckBox" fmlaLink="$O$15" lockText="1"/>
</file>

<file path=xl/ctrlProps/ctrlProp18.xml><?xml version="1.0" encoding="utf-8"?>
<formControlPr xmlns="http://schemas.microsoft.com/office/spreadsheetml/2009/9/main" objectType="CheckBox" fmlaLink="$R$24" lockText="1"/>
</file>

<file path=xl/ctrlProps/ctrlProp180.xml><?xml version="1.0" encoding="utf-8"?>
<formControlPr xmlns="http://schemas.microsoft.com/office/spreadsheetml/2009/9/main" objectType="CheckBox" fmlaLink="$N$16" lockText="1"/>
</file>

<file path=xl/ctrlProps/ctrlProp181.xml><?xml version="1.0" encoding="utf-8"?>
<formControlPr xmlns="http://schemas.microsoft.com/office/spreadsheetml/2009/9/main" objectType="CheckBox" fmlaLink="$O$16" lockText="1"/>
</file>

<file path=xl/ctrlProps/ctrlProp182.xml><?xml version="1.0" encoding="utf-8"?>
<formControlPr xmlns="http://schemas.microsoft.com/office/spreadsheetml/2009/9/main" objectType="CheckBox" fmlaLink="$N$17" lockText="1"/>
</file>

<file path=xl/ctrlProps/ctrlProp183.xml><?xml version="1.0" encoding="utf-8"?>
<formControlPr xmlns="http://schemas.microsoft.com/office/spreadsheetml/2009/9/main" objectType="CheckBox" fmlaLink="$O$17" lockText="1"/>
</file>

<file path=xl/ctrlProps/ctrlProp184.xml><?xml version="1.0" encoding="utf-8"?>
<formControlPr xmlns="http://schemas.microsoft.com/office/spreadsheetml/2009/9/main" objectType="CheckBox" fmlaLink="$N$18" lockText="1"/>
</file>

<file path=xl/ctrlProps/ctrlProp185.xml><?xml version="1.0" encoding="utf-8"?>
<formControlPr xmlns="http://schemas.microsoft.com/office/spreadsheetml/2009/9/main" objectType="CheckBox" fmlaLink="$O$18" lockText="1"/>
</file>

<file path=xl/ctrlProps/ctrlProp186.xml><?xml version="1.0" encoding="utf-8"?>
<formControlPr xmlns="http://schemas.microsoft.com/office/spreadsheetml/2009/9/main" objectType="CheckBox" fmlaLink="$N$19" lockText="1"/>
</file>

<file path=xl/ctrlProps/ctrlProp187.xml><?xml version="1.0" encoding="utf-8"?>
<formControlPr xmlns="http://schemas.microsoft.com/office/spreadsheetml/2009/9/main" objectType="CheckBox" fmlaLink="$O$19" lockText="1"/>
</file>

<file path=xl/ctrlProps/ctrlProp188.xml><?xml version="1.0" encoding="utf-8"?>
<formControlPr xmlns="http://schemas.microsoft.com/office/spreadsheetml/2009/9/main" objectType="CheckBox" fmlaLink="$N$20" lockText="1"/>
</file>

<file path=xl/ctrlProps/ctrlProp189.xml><?xml version="1.0" encoding="utf-8"?>
<formControlPr xmlns="http://schemas.microsoft.com/office/spreadsheetml/2009/9/main" objectType="CheckBox" fmlaLink="$O$20" lockText="1"/>
</file>

<file path=xl/ctrlProps/ctrlProp19.xml><?xml version="1.0" encoding="utf-8"?>
<formControlPr xmlns="http://schemas.microsoft.com/office/spreadsheetml/2009/9/main" objectType="CheckBox" fmlaLink="$S$24" lockText="1"/>
</file>

<file path=xl/ctrlProps/ctrlProp190.xml><?xml version="1.0" encoding="utf-8"?>
<formControlPr xmlns="http://schemas.microsoft.com/office/spreadsheetml/2009/9/main" objectType="CheckBox" fmlaLink="$N$21" lockText="1"/>
</file>

<file path=xl/ctrlProps/ctrlProp191.xml><?xml version="1.0" encoding="utf-8"?>
<formControlPr xmlns="http://schemas.microsoft.com/office/spreadsheetml/2009/9/main" objectType="CheckBox" fmlaLink="$O$21" lockText="1"/>
</file>

<file path=xl/ctrlProps/ctrlProp192.xml><?xml version="1.0" encoding="utf-8"?>
<formControlPr xmlns="http://schemas.microsoft.com/office/spreadsheetml/2009/9/main" objectType="CheckBox" fmlaLink="$N$22" lockText="1"/>
</file>

<file path=xl/ctrlProps/ctrlProp193.xml><?xml version="1.0" encoding="utf-8"?>
<formControlPr xmlns="http://schemas.microsoft.com/office/spreadsheetml/2009/9/main" objectType="CheckBox" fmlaLink="$O$22" lockText="1"/>
</file>

<file path=xl/ctrlProps/ctrlProp194.xml><?xml version="1.0" encoding="utf-8"?>
<formControlPr xmlns="http://schemas.microsoft.com/office/spreadsheetml/2009/9/main" objectType="CheckBox" fmlaLink="$N$23" lockText="1"/>
</file>

<file path=xl/ctrlProps/ctrlProp195.xml><?xml version="1.0" encoding="utf-8"?>
<formControlPr xmlns="http://schemas.microsoft.com/office/spreadsheetml/2009/9/main" objectType="CheckBox" fmlaLink="$O$23" lockText="1"/>
</file>

<file path=xl/ctrlProps/ctrlProp196.xml><?xml version="1.0" encoding="utf-8"?>
<formControlPr xmlns="http://schemas.microsoft.com/office/spreadsheetml/2009/9/main" objectType="CheckBox" fmlaLink="$N$24" lockText="1"/>
</file>

<file path=xl/ctrlProps/ctrlProp197.xml><?xml version="1.0" encoding="utf-8"?>
<formControlPr xmlns="http://schemas.microsoft.com/office/spreadsheetml/2009/9/main" objectType="CheckBox" fmlaLink="$O$24" lockText="1"/>
</file>

<file path=xl/ctrlProps/ctrlProp198.xml><?xml version="1.0" encoding="utf-8"?>
<formControlPr xmlns="http://schemas.microsoft.com/office/spreadsheetml/2009/9/main" objectType="CheckBox" fmlaLink="$N$25" lockText="1"/>
</file>

<file path=xl/ctrlProps/ctrlProp199.xml><?xml version="1.0" encoding="utf-8"?>
<formControlPr xmlns="http://schemas.microsoft.com/office/spreadsheetml/2009/9/main" objectType="CheckBox" fmlaLink="$O$25" lockText="1"/>
</file>

<file path=xl/ctrlProps/ctrlProp2.xml><?xml version="1.0" encoding="utf-8"?>
<formControlPr xmlns="http://schemas.microsoft.com/office/spreadsheetml/2009/9/main" objectType="CheckBox" checked="Checked" fmlaLink="$T$13" lockText="1"/>
</file>

<file path=xl/ctrlProps/ctrlProp20.xml><?xml version="1.0" encoding="utf-8"?>
<formControlPr xmlns="http://schemas.microsoft.com/office/spreadsheetml/2009/9/main" objectType="CheckBox" fmlaLink="$N$14" lockText="1"/>
</file>

<file path=xl/ctrlProps/ctrlProp200.xml><?xml version="1.0" encoding="utf-8"?>
<formControlPr xmlns="http://schemas.microsoft.com/office/spreadsheetml/2009/9/main" objectType="CheckBox" fmlaLink="$N$26" lockText="1"/>
</file>

<file path=xl/ctrlProps/ctrlProp201.xml><?xml version="1.0" encoding="utf-8"?>
<formControlPr xmlns="http://schemas.microsoft.com/office/spreadsheetml/2009/9/main" objectType="CheckBox" fmlaLink="$O$26" lockText="1"/>
</file>

<file path=xl/ctrlProps/ctrlProp202.xml><?xml version="1.0" encoding="utf-8"?>
<formControlPr xmlns="http://schemas.microsoft.com/office/spreadsheetml/2009/9/main" objectType="CheckBox" fmlaLink="$N$28" lockText="1"/>
</file>

<file path=xl/ctrlProps/ctrlProp203.xml><?xml version="1.0" encoding="utf-8"?>
<formControlPr xmlns="http://schemas.microsoft.com/office/spreadsheetml/2009/9/main" objectType="CheckBox" fmlaLink="$O$28" lockText="1"/>
</file>

<file path=xl/ctrlProps/ctrlProp204.xml><?xml version="1.0" encoding="utf-8"?>
<formControlPr xmlns="http://schemas.microsoft.com/office/spreadsheetml/2009/9/main" objectType="CheckBox" fmlaLink="$N$29" lockText="1"/>
</file>

<file path=xl/ctrlProps/ctrlProp205.xml><?xml version="1.0" encoding="utf-8"?>
<formControlPr xmlns="http://schemas.microsoft.com/office/spreadsheetml/2009/9/main" objectType="CheckBox" fmlaLink="$O$29" lockText="1"/>
</file>

<file path=xl/ctrlProps/ctrlProp206.xml><?xml version="1.0" encoding="utf-8"?>
<formControlPr xmlns="http://schemas.microsoft.com/office/spreadsheetml/2009/9/main" objectType="CheckBox" fmlaLink="$N$30" lockText="1"/>
</file>

<file path=xl/ctrlProps/ctrlProp207.xml><?xml version="1.0" encoding="utf-8"?>
<formControlPr xmlns="http://schemas.microsoft.com/office/spreadsheetml/2009/9/main" objectType="CheckBox" fmlaLink="$O$30" lockText="1"/>
</file>

<file path=xl/ctrlProps/ctrlProp208.xml><?xml version="1.0" encoding="utf-8"?>
<formControlPr xmlns="http://schemas.microsoft.com/office/spreadsheetml/2009/9/main" objectType="CheckBox" fmlaLink="$N$31" lockText="1"/>
</file>

<file path=xl/ctrlProps/ctrlProp209.xml><?xml version="1.0" encoding="utf-8"?>
<formControlPr xmlns="http://schemas.microsoft.com/office/spreadsheetml/2009/9/main" objectType="CheckBox" fmlaLink="$O$31" lockText="1"/>
</file>

<file path=xl/ctrlProps/ctrlProp21.xml><?xml version="1.0" encoding="utf-8"?>
<formControlPr xmlns="http://schemas.microsoft.com/office/spreadsheetml/2009/9/main" objectType="CheckBox" fmlaLink="$O$14" lockText="1"/>
</file>

<file path=xl/ctrlProps/ctrlProp210.xml><?xml version="1.0" encoding="utf-8"?>
<formControlPr xmlns="http://schemas.microsoft.com/office/spreadsheetml/2009/9/main" objectType="CheckBox" fmlaLink="$N$32" lockText="1"/>
</file>

<file path=xl/ctrlProps/ctrlProp211.xml><?xml version="1.0" encoding="utf-8"?>
<formControlPr xmlns="http://schemas.microsoft.com/office/spreadsheetml/2009/9/main" objectType="CheckBox" fmlaLink="$O$32" lockText="1"/>
</file>

<file path=xl/ctrlProps/ctrlProp212.xml><?xml version="1.0" encoding="utf-8"?>
<formControlPr xmlns="http://schemas.microsoft.com/office/spreadsheetml/2009/9/main" objectType="CheckBox" fmlaLink="$N$33" lockText="1"/>
</file>

<file path=xl/ctrlProps/ctrlProp213.xml><?xml version="1.0" encoding="utf-8"?>
<formControlPr xmlns="http://schemas.microsoft.com/office/spreadsheetml/2009/9/main" objectType="CheckBox" fmlaLink="$O$33" lockText="1"/>
</file>

<file path=xl/ctrlProps/ctrlProp214.xml><?xml version="1.0" encoding="utf-8"?>
<formControlPr xmlns="http://schemas.microsoft.com/office/spreadsheetml/2009/9/main" objectType="CheckBox" fmlaLink="$N$34" lockText="1"/>
</file>

<file path=xl/ctrlProps/ctrlProp215.xml><?xml version="1.0" encoding="utf-8"?>
<formControlPr xmlns="http://schemas.microsoft.com/office/spreadsheetml/2009/9/main" objectType="CheckBox" fmlaLink="$O$34" lockText="1"/>
</file>

<file path=xl/ctrlProps/ctrlProp216.xml><?xml version="1.0" encoding="utf-8"?>
<formControlPr xmlns="http://schemas.microsoft.com/office/spreadsheetml/2009/9/main" objectType="CheckBox" fmlaLink="$N$27" lockText="1"/>
</file>

<file path=xl/ctrlProps/ctrlProp217.xml><?xml version="1.0" encoding="utf-8"?>
<formControlPr xmlns="http://schemas.microsoft.com/office/spreadsheetml/2009/9/main" objectType="CheckBox" fmlaLink="$O$27" lockText="1"/>
</file>

<file path=xl/ctrlProps/ctrlProp22.xml><?xml version="1.0" encoding="utf-8"?>
<formControlPr xmlns="http://schemas.microsoft.com/office/spreadsheetml/2009/9/main" objectType="CheckBox" fmlaLink="$N$36" lockText="1"/>
</file>

<file path=xl/ctrlProps/ctrlProp23.xml><?xml version="1.0" encoding="utf-8"?>
<formControlPr xmlns="http://schemas.microsoft.com/office/spreadsheetml/2009/9/main" objectType="CheckBox" fmlaLink="$O$36" lockText="1"/>
</file>

<file path=xl/ctrlProps/ctrlProp24.xml><?xml version="1.0" encoding="utf-8"?>
<formControlPr xmlns="http://schemas.microsoft.com/office/spreadsheetml/2009/9/main" objectType="CheckBox" fmlaLink="N8" lockText="1"/>
</file>

<file path=xl/ctrlProps/ctrlProp25.xml><?xml version="1.0" encoding="utf-8"?>
<formControlPr xmlns="http://schemas.microsoft.com/office/spreadsheetml/2009/9/main" objectType="CheckBox" fmlaLink="P8" lockText="1"/>
</file>

<file path=xl/ctrlProps/ctrlProp26.xml><?xml version="1.0" encoding="utf-8"?>
<formControlPr xmlns="http://schemas.microsoft.com/office/spreadsheetml/2009/9/main" objectType="CheckBox" fmlaLink="O8" lockText="1"/>
</file>

<file path=xl/ctrlProps/ctrlProp27.xml><?xml version="1.0" encoding="utf-8"?>
<formControlPr xmlns="http://schemas.microsoft.com/office/spreadsheetml/2009/9/main" objectType="CheckBox" fmlaLink="Q8" lockText="1"/>
</file>

<file path=xl/ctrlProps/ctrlProp28.xml><?xml version="1.0" encoding="utf-8"?>
<formControlPr xmlns="http://schemas.microsoft.com/office/spreadsheetml/2009/9/main" objectType="CheckBox" fmlaLink="$N$43" lockText="1"/>
</file>

<file path=xl/ctrlProps/ctrlProp29.xml><?xml version="1.0" encoding="utf-8"?>
<formControlPr xmlns="http://schemas.microsoft.com/office/spreadsheetml/2009/9/main" objectType="CheckBox" fmlaLink="$O$43"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N$44" lockText="1"/>
</file>

<file path=xl/ctrlProps/ctrlProp31.xml><?xml version="1.0" encoding="utf-8"?>
<formControlPr xmlns="http://schemas.microsoft.com/office/spreadsheetml/2009/9/main" objectType="CheckBox" fmlaLink="$O$44" lockText="1"/>
</file>

<file path=xl/ctrlProps/ctrlProp32.xml><?xml version="1.0" encoding="utf-8"?>
<formControlPr xmlns="http://schemas.microsoft.com/office/spreadsheetml/2009/9/main" objectType="CheckBox" fmlaLink="$P$44" lockText="1"/>
</file>

<file path=xl/ctrlProps/ctrlProp33.xml><?xml version="1.0" encoding="utf-8"?>
<formControlPr xmlns="http://schemas.microsoft.com/office/spreadsheetml/2009/9/main" objectType="CheckBox" fmlaLink="$N$47" lockText="1"/>
</file>

<file path=xl/ctrlProps/ctrlProp34.xml><?xml version="1.0" encoding="utf-8"?>
<formControlPr xmlns="http://schemas.microsoft.com/office/spreadsheetml/2009/9/main" objectType="CheckBox" fmlaLink="$O$47" lockText="1"/>
</file>

<file path=xl/ctrlProps/ctrlProp35.xml><?xml version="1.0" encoding="utf-8"?>
<formControlPr xmlns="http://schemas.microsoft.com/office/spreadsheetml/2009/9/main" objectType="CheckBox" fmlaLink="$N$50" lockText="1"/>
</file>

<file path=xl/ctrlProps/ctrlProp36.xml><?xml version="1.0" encoding="utf-8"?>
<formControlPr xmlns="http://schemas.microsoft.com/office/spreadsheetml/2009/9/main" objectType="CheckBox" fmlaLink="$O$50" lockText="1"/>
</file>

<file path=xl/ctrlProps/ctrlProp37.xml><?xml version="1.0" encoding="utf-8"?>
<formControlPr xmlns="http://schemas.microsoft.com/office/spreadsheetml/2009/9/main" objectType="CheckBox" fmlaLink="$P$50" lockText="1"/>
</file>

<file path=xl/ctrlProps/ctrlProp38.xml><?xml version="1.0" encoding="utf-8"?>
<formControlPr xmlns="http://schemas.microsoft.com/office/spreadsheetml/2009/9/main" objectType="CheckBox" fmlaLink="$N$54" lockText="1"/>
</file>

<file path=xl/ctrlProps/ctrlProp39.xml><?xml version="1.0" encoding="utf-8"?>
<formControlPr xmlns="http://schemas.microsoft.com/office/spreadsheetml/2009/9/main" objectType="CheckBox" fmlaLink="$O$54"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fmlaLink="$N$58" lockText="1"/>
</file>

<file path=xl/ctrlProps/ctrlProp41.xml><?xml version="1.0" encoding="utf-8"?>
<formControlPr xmlns="http://schemas.microsoft.com/office/spreadsheetml/2009/9/main" objectType="CheckBox" fmlaLink="$O$58" lockText="1"/>
</file>

<file path=xl/ctrlProps/ctrlProp42.xml><?xml version="1.0" encoding="utf-8"?>
<formControlPr xmlns="http://schemas.microsoft.com/office/spreadsheetml/2009/9/main" objectType="CheckBox" fmlaLink="$N$61" lockText="1"/>
</file>

<file path=xl/ctrlProps/ctrlProp43.xml><?xml version="1.0" encoding="utf-8"?>
<formControlPr xmlns="http://schemas.microsoft.com/office/spreadsheetml/2009/9/main" objectType="CheckBox" fmlaLink="$O$61" lockText="1"/>
</file>

<file path=xl/ctrlProps/ctrlProp44.xml><?xml version="1.0" encoding="utf-8"?>
<formControlPr xmlns="http://schemas.microsoft.com/office/spreadsheetml/2009/9/main" objectType="CheckBox" fmlaLink="$P$61" lockText="1"/>
</file>

<file path=xl/ctrlProps/ctrlProp45.xml><?xml version="1.0" encoding="utf-8"?>
<formControlPr xmlns="http://schemas.microsoft.com/office/spreadsheetml/2009/9/main" objectType="CheckBox" fmlaLink="$N$65" lockText="1"/>
</file>

<file path=xl/ctrlProps/ctrlProp46.xml><?xml version="1.0" encoding="utf-8"?>
<formControlPr xmlns="http://schemas.microsoft.com/office/spreadsheetml/2009/9/main" objectType="CheckBox" fmlaLink="$O$65" lockText="1"/>
</file>

<file path=xl/ctrlProps/ctrlProp47.xml><?xml version="1.0" encoding="utf-8"?>
<formControlPr xmlns="http://schemas.microsoft.com/office/spreadsheetml/2009/9/main" objectType="CheckBox" fmlaLink="$W$65" lockText="1"/>
</file>

<file path=xl/ctrlProps/ctrlProp48.xml><?xml version="1.0" encoding="utf-8"?>
<formControlPr xmlns="http://schemas.microsoft.com/office/spreadsheetml/2009/9/main" objectType="CheckBox" fmlaLink="$X$65" lockText="1"/>
</file>

<file path=xl/ctrlProps/ctrlProp49.xml><?xml version="1.0" encoding="utf-8"?>
<formControlPr xmlns="http://schemas.microsoft.com/office/spreadsheetml/2009/9/main" objectType="CheckBox" fmlaLink="$N$24"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fmlaLink="$O$24" lockText="1"/>
</file>

<file path=xl/ctrlProps/ctrlProp51.xml><?xml version="1.0" encoding="utf-8"?>
<formControlPr xmlns="http://schemas.microsoft.com/office/spreadsheetml/2009/9/main" objectType="CheckBox" fmlaLink="$N$26" lockText="1"/>
</file>

<file path=xl/ctrlProps/ctrlProp52.xml><?xml version="1.0" encoding="utf-8"?>
<formControlPr xmlns="http://schemas.microsoft.com/office/spreadsheetml/2009/9/main" objectType="CheckBox" fmlaLink="$O$26" lockText="1"/>
</file>

<file path=xl/ctrlProps/ctrlProp53.xml><?xml version="1.0" encoding="utf-8"?>
<formControlPr xmlns="http://schemas.microsoft.com/office/spreadsheetml/2009/9/main" objectType="CheckBox" fmlaLink="$Q$50" lockText="1"/>
</file>

<file path=xl/ctrlProps/ctrlProp54.xml><?xml version="1.0" encoding="utf-8"?>
<formControlPr xmlns="http://schemas.microsoft.com/office/spreadsheetml/2009/9/main" objectType="CheckBox" fmlaLink="$S$50" lockText="1"/>
</file>

<file path=xl/ctrlProps/ctrlProp55.xml><?xml version="1.0" encoding="utf-8"?>
<formControlPr xmlns="http://schemas.microsoft.com/office/spreadsheetml/2009/9/main" objectType="CheckBox" fmlaLink="$N$4" lockText="1"/>
</file>

<file path=xl/ctrlProps/ctrlProp56.xml><?xml version="1.0" encoding="utf-8"?>
<formControlPr xmlns="http://schemas.microsoft.com/office/spreadsheetml/2009/9/main" objectType="CheckBox" fmlaLink="$O$4" lockText="1"/>
</file>

<file path=xl/ctrlProps/ctrlProp57.xml><?xml version="1.0" encoding="utf-8"?>
<formControlPr xmlns="http://schemas.microsoft.com/office/spreadsheetml/2009/9/main" objectType="CheckBox" fmlaLink="$N$5" lockText="1"/>
</file>

<file path=xl/ctrlProps/ctrlProp58.xml><?xml version="1.0" encoding="utf-8"?>
<formControlPr xmlns="http://schemas.microsoft.com/office/spreadsheetml/2009/9/main" objectType="CheckBox" fmlaLink="$O$5" lockText="1"/>
</file>

<file path=xl/ctrlProps/ctrlProp59.xml><?xml version="1.0" encoding="utf-8"?>
<formControlPr xmlns="http://schemas.microsoft.com/office/spreadsheetml/2009/9/main" objectType="CheckBox" fmlaLink="$P$5"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fmlaLink="$Q$5" lockText="1"/>
</file>

<file path=xl/ctrlProps/ctrlProp61.xml><?xml version="1.0" encoding="utf-8"?>
<formControlPr xmlns="http://schemas.microsoft.com/office/spreadsheetml/2009/9/main" objectType="CheckBox" fmlaLink="$R$5" lockText="1"/>
</file>

<file path=xl/ctrlProps/ctrlProp62.xml><?xml version="1.0" encoding="utf-8"?>
<formControlPr xmlns="http://schemas.microsoft.com/office/spreadsheetml/2009/9/main" objectType="CheckBox" fmlaLink="$S$5" lockText="1"/>
</file>

<file path=xl/ctrlProps/ctrlProp63.xml><?xml version="1.0" encoding="utf-8"?>
<formControlPr xmlns="http://schemas.microsoft.com/office/spreadsheetml/2009/9/main" objectType="CheckBox" fmlaLink="$T$5" lockText="1"/>
</file>

<file path=xl/ctrlProps/ctrlProp64.xml><?xml version="1.0" encoding="utf-8"?>
<formControlPr xmlns="http://schemas.microsoft.com/office/spreadsheetml/2009/9/main" objectType="CheckBox" fmlaLink="$U$5" lockText="1"/>
</file>

<file path=xl/ctrlProps/ctrlProp65.xml><?xml version="1.0" encoding="utf-8"?>
<formControlPr xmlns="http://schemas.microsoft.com/office/spreadsheetml/2009/9/main" objectType="CheckBox" fmlaLink="$V$5" lockText="1"/>
</file>

<file path=xl/ctrlProps/ctrlProp66.xml><?xml version="1.0" encoding="utf-8"?>
<formControlPr xmlns="http://schemas.microsoft.com/office/spreadsheetml/2009/9/main" objectType="CheckBox" fmlaLink="$W$5" lockText="1"/>
</file>

<file path=xl/ctrlProps/ctrlProp67.xml><?xml version="1.0" encoding="utf-8"?>
<formControlPr xmlns="http://schemas.microsoft.com/office/spreadsheetml/2009/9/main" objectType="CheckBox" fmlaLink="$X$5" lockText="1"/>
</file>

<file path=xl/ctrlProps/ctrlProp68.xml><?xml version="1.0" encoding="utf-8"?>
<formControlPr xmlns="http://schemas.microsoft.com/office/spreadsheetml/2009/9/main" objectType="CheckBox" fmlaLink="$Y$5" lockText="1"/>
</file>

<file path=xl/ctrlProps/ctrlProp69.xml><?xml version="1.0" encoding="utf-8"?>
<formControlPr xmlns="http://schemas.microsoft.com/office/spreadsheetml/2009/9/main" objectType="CheckBox" fmlaLink="$N$10"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fmlaLink="$O$10" lockText="1"/>
</file>

<file path=xl/ctrlProps/ctrlProp71.xml><?xml version="1.0" encoding="utf-8"?>
<formControlPr xmlns="http://schemas.microsoft.com/office/spreadsheetml/2009/9/main" objectType="CheckBox" fmlaLink="$N$30" lockText="1"/>
</file>

<file path=xl/ctrlProps/ctrlProp72.xml><?xml version="1.0" encoding="utf-8"?>
<formControlPr xmlns="http://schemas.microsoft.com/office/spreadsheetml/2009/9/main" objectType="CheckBox" fmlaLink="$N$31" lockText="1"/>
</file>

<file path=xl/ctrlProps/ctrlProp73.xml><?xml version="1.0" encoding="utf-8"?>
<formControlPr xmlns="http://schemas.microsoft.com/office/spreadsheetml/2009/9/main" objectType="CheckBox" fmlaLink="$N$32" lockText="1"/>
</file>

<file path=xl/ctrlProps/ctrlProp74.xml><?xml version="1.0" encoding="utf-8"?>
<formControlPr xmlns="http://schemas.microsoft.com/office/spreadsheetml/2009/9/main" objectType="CheckBox" fmlaLink="$N$33" lockText="1"/>
</file>

<file path=xl/ctrlProps/ctrlProp75.xml><?xml version="1.0" encoding="utf-8"?>
<formControlPr xmlns="http://schemas.microsoft.com/office/spreadsheetml/2009/9/main" objectType="CheckBox" fmlaLink="$N$34" lockText="1"/>
</file>

<file path=xl/ctrlProps/ctrlProp76.xml><?xml version="1.0" encoding="utf-8"?>
<formControlPr xmlns="http://schemas.microsoft.com/office/spreadsheetml/2009/9/main" objectType="CheckBox" fmlaLink="$N$35" lockText="1"/>
</file>

<file path=xl/ctrlProps/ctrlProp77.xml><?xml version="1.0" encoding="utf-8"?>
<formControlPr xmlns="http://schemas.microsoft.com/office/spreadsheetml/2009/9/main" objectType="CheckBox" fmlaLink="$N$38" lockText="1"/>
</file>

<file path=xl/ctrlProps/ctrlProp78.xml><?xml version="1.0" encoding="utf-8"?>
<formControlPr xmlns="http://schemas.microsoft.com/office/spreadsheetml/2009/9/main" objectType="CheckBox" fmlaLink="$N$39" lockText="1"/>
</file>

<file path=xl/ctrlProps/ctrlProp79.xml><?xml version="1.0" encoding="utf-8"?>
<formControlPr xmlns="http://schemas.microsoft.com/office/spreadsheetml/2009/9/main" objectType="CheckBox" fmlaLink="$N$40"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fmlaLink="$N$41" lockText="1"/>
</file>

<file path=xl/ctrlProps/ctrlProp81.xml><?xml version="1.0" encoding="utf-8"?>
<formControlPr xmlns="http://schemas.microsoft.com/office/spreadsheetml/2009/9/main" objectType="CheckBox" fmlaLink="$N$42" lockText="1"/>
</file>

<file path=xl/ctrlProps/ctrlProp82.xml><?xml version="1.0" encoding="utf-8"?>
<formControlPr xmlns="http://schemas.microsoft.com/office/spreadsheetml/2009/9/main" objectType="CheckBox" fmlaLink="$N$43" lockText="1"/>
</file>

<file path=xl/ctrlProps/ctrlProp83.xml><?xml version="1.0" encoding="utf-8"?>
<formControlPr xmlns="http://schemas.microsoft.com/office/spreadsheetml/2009/9/main" objectType="CheckBox" fmlaLink="$N$18" lockText="1"/>
</file>

<file path=xl/ctrlProps/ctrlProp84.xml><?xml version="1.0" encoding="utf-8"?>
<formControlPr xmlns="http://schemas.microsoft.com/office/spreadsheetml/2009/9/main" objectType="CheckBox" fmlaLink="$O$18" lockText="1"/>
</file>

<file path=xl/ctrlProps/ctrlProp85.xml><?xml version="1.0" encoding="utf-8"?>
<formControlPr xmlns="http://schemas.microsoft.com/office/spreadsheetml/2009/9/main" objectType="CheckBox" fmlaLink="$N$22" lockText="1"/>
</file>

<file path=xl/ctrlProps/ctrlProp86.xml><?xml version="1.0" encoding="utf-8"?>
<formControlPr xmlns="http://schemas.microsoft.com/office/spreadsheetml/2009/9/main" objectType="CheckBox" fmlaLink="$O$22" lockText="1"/>
</file>

<file path=xl/ctrlProps/ctrlProp87.xml><?xml version="1.0" encoding="utf-8"?>
<formControlPr xmlns="http://schemas.microsoft.com/office/spreadsheetml/2009/9/main" objectType="CheckBox" fmlaLink="$N$26" lockText="1"/>
</file>

<file path=xl/ctrlProps/ctrlProp88.xml><?xml version="1.0" encoding="utf-8"?>
<formControlPr xmlns="http://schemas.microsoft.com/office/spreadsheetml/2009/9/main" objectType="CheckBox" fmlaLink="$O$26" lockText="1"/>
</file>

<file path=xl/ctrlProps/ctrlProp89.xml><?xml version="1.0" encoding="utf-8"?>
<formControlPr xmlns="http://schemas.microsoft.com/office/spreadsheetml/2009/9/main" objectType="CheckBox" fmlaLink="$M$8"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fmlaLink="$N$8" lockText="1"/>
</file>

<file path=xl/ctrlProps/ctrlProp91.xml><?xml version="1.0" encoding="utf-8"?>
<formControlPr xmlns="http://schemas.microsoft.com/office/spreadsheetml/2009/9/main" objectType="CheckBox" fmlaLink="$M$6" lockText="1"/>
</file>

<file path=xl/ctrlProps/ctrlProp92.xml><?xml version="1.0" encoding="utf-8"?>
<formControlPr xmlns="http://schemas.microsoft.com/office/spreadsheetml/2009/9/main" objectType="CheckBox" fmlaLink="$N$6" lockText="1"/>
</file>

<file path=xl/ctrlProps/ctrlProp93.xml><?xml version="1.0" encoding="utf-8"?>
<formControlPr xmlns="http://schemas.microsoft.com/office/spreadsheetml/2009/9/main" objectType="CheckBox" fmlaLink="$M$7" lockText="1"/>
</file>

<file path=xl/ctrlProps/ctrlProp94.xml><?xml version="1.0" encoding="utf-8"?>
<formControlPr xmlns="http://schemas.microsoft.com/office/spreadsheetml/2009/9/main" objectType="CheckBox" fmlaLink="$N$7" lockText="1"/>
</file>

<file path=xl/ctrlProps/ctrlProp95.xml><?xml version="1.0" encoding="utf-8"?>
<formControlPr xmlns="http://schemas.microsoft.com/office/spreadsheetml/2009/9/main" objectType="CheckBox" fmlaLink="$M$5" lockText="1"/>
</file>

<file path=xl/ctrlProps/ctrlProp96.xml><?xml version="1.0" encoding="utf-8"?>
<formControlPr xmlns="http://schemas.microsoft.com/office/spreadsheetml/2009/9/main" objectType="CheckBox" fmlaLink="$N$5" lockText="1"/>
</file>

<file path=xl/ctrlProps/ctrlProp97.xml><?xml version="1.0" encoding="utf-8"?>
<formControlPr xmlns="http://schemas.microsoft.com/office/spreadsheetml/2009/9/main" objectType="CheckBox" fmlaLink="$M$4" lockText="1"/>
</file>

<file path=xl/ctrlProps/ctrlProp98.xml><?xml version="1.0" encoding="utf-8"?>
<formControlPr xmlns="http://schemas.microsoft.com/office/spreadsheetml/2009/9/main" objectType="CheckBox" fmlaLink="$N$4" lockText="1"/>
</file>

<file path=xl/ctrlProps/ctrlProp99.xml><?xml version="1.0" encoding="utf-8"?>
<formControlPr xmlns="http://schemas.microsoft.com/office/spreadsheetml/2009/9/main" objectType="CheckBox" fmlaLink="$M$3" lockText="1"/>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lincoln.ne.gov/city/health/environ/air.htm"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12</xdr:row>
          <xdr:rowOff>47625</xdr:rowOff>
        </xdr:from>
        <xdr:to>
          <xdr:col>4</xdr:col>
          <xdr:colOff>304800</xdr:colOff>
          <xdr:row>12</xdr:row>
          <xdr:rowOff>781050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0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47625</xdr:rowOff>
        </xdr:from>
        <xdr:to>
          <xdr:col>6</xdr:col>
          <xdr:colOff>0</xdr:colOff>
          <xdr:row>12</xdr:row>
          <xdr:rowOff>781050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0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47625</xdr:rowOff>
        </xdr:from>
        <xdr:to>
          <xdr:col>2</xdr:col>
          <xdr:colOff>171450</xdr:colOff>
          <xdr:row>15</xdr:row>
          <xdr:rowOff>276225</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0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January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238125</xdr:rowOff>
        </xdr:from>
        <xdr:to>
          <xdr:col>2</xdr:col>
          <xdr:colOff>171450</xdr:colOff>
          <xdr:row>15</xdr:row>
          <xdr:rowOff>466725</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0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February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47625</xdr:rowOff>
        </xdr:from>
        <xdr:to>
          <xdr:col>4</xdr:col>
          <xdr:colOff>171450</xdr:colOff>
          <xdr:row>15</xdr:row>
          <xdr:rowOff>276225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0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March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238125</xdr:rowOff>
        </xdr:from>
        <xdr:to>
          <xdr:col>4</xdr:col>
          <xdr:colOff>171450</xdr:colOff>
          <xdr:row>15</xdr:row>
          <xdr:rowOff>466725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0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April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47625</xdr:rowOff>
        </xdr:from>
        <xdr:to>
          <xdr:col>5</xdr:col>
          <xdr:colOff>590550</xdr:colOff>
          <xdr:row>15</xdr:row>
          <xdr:rowOff>276225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0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238125</xdr:rowOff>
        </xdr:from>
        <xdr:to>
          <xdr:col>5</xdr:col>
          <xdr:colOff>590550</xdr:colOff>
          <xdr:row>15</xdr:row>
          <xdr:rowOff>466725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0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47625</xdr:rowOff>
        </xdr:from>
        <xdr:to>
          <xdr:col>7</xdr:col>
          <xdr:colOff>323850</xdr:colOff>
          <xdr:row>15</xdr:row>
          <xdr:rowOff>276225</xdr:rowOff>
        </xdr:to>
        <xdr:sp macro="" textlink="">
          <xdr:nvSpPr>
            <xdr:cNvPr id="31765" name="Check Box 21" hidden="1">
              <a:extLst>
                <a:ext uri="{63B3BB69-23CF-44E3-9099-C40C66FF867C}">
                  <a14:compatExt spid="_x0000_s31765"/>
                </a:ext>
                <a:ext uri="{FF2B5EF4-FFF2-40B4-BE49-F238E27FC236}">
                  <a16:creationId xmlns:a16="http://schemas.microsoft.com/office/drawing/2014/main" id="{00000000-0008-0000-0000-00001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238125</xdr:rowOff>
        </xdr:from>
        <xdr:to>
          <xdr:col>7</xdr:col>
          <xdr:colOff>323850</xdr:colOff>
          <xdr:row>15</xdr:row>
          <xdr:rowOff>466725</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0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August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47625</xdr:rowOff>
        </xdr:from>
        <xdr:to>
          <xdr:col>9</xdr:col>
          <xdr:colOff>114300</xdr:colOff>
          <xdr:row>15</xdr:row>
          <xdr:rowOff>276225</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0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September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238125</xdr:rowOff>
        </xdr:from>
        <xdr:to>
          <xdr:col>9</xdr:col>
          <xdr:colOff>114300</xdr:colOff>
          <xdr:row>15</xdr:row>
          <xdr:rowOff>466725</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0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October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47625</xdr:rowOff>
        </xdr:from>
        <xdr:to>
          <xdr:col>10</xdr:col>
          <xdr:colOff>590550</xdr:colOff>
          <xdr:row>15</xdr:row>
          <xdr:rowOff>276225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0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November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10</xdr:col>
          <xdr:colOff>590550</xdr:colOff>
          <xdr:row>15</xdr:row>
          <xdr:rowOff>466725</xdr:rowOff>
        </xdr:to>
        <xdr:sp macro="" textlink="">
          <xdr:nvSpPr>
            <xdr:cNvPr id="31770" name="Check Box 26" hidden="1">
              <a:extLst>
                <a:ext uri="{63B3BB69-23CF-44E3-9099-C40C66FF867C}">
                  <a14:compatExt spid="_x0000_s31770"/>
                </a:ext>
                <a:ext uri="{FF2B5EF4-FFF2-40B4-BE49-F238E27FC236}">
                  <a16:creationId xmlns:a16="http://schemas.microsoft.com/office/drawing/2014/main" id="{00000000-0008-0000-0000-00001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December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xdr:row>
          <xdr:rowOff>47625</xdr:rowOff>
        </xdr:from>
        <xdr:to>
          <xdr:col>4</xdr:col>
          <xdr:colOff>304800</xdr:colOff>
          <xdr:row>15</xdr:row>
          <xdr:rowOff>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0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47625</xdr:rowOff>
        </xdr:from>
        <xdr:to>
          <xdr:col>6</xdr:col>
          <xdr:colOff>0</xdr:colOff>
          <xdr:row>15</xdr:row>
          <xdr:rowOff>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0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792913</xdr:colOff>
      <xdr:row>23</xdr:row>
      <xdr:rowOff>0</xdr:rowOff>
    </xdr:from>
    <xdr:to>
      <xdr:col>10</xdr:col>
      <xdr:colOff>859155</xdr:colOff>
      <xdr:row>23</xdr:row>
      <xdr:rowOff>704850</xdr:rowOff>
    </xdr:to>
    <xdr:grpSp>
      <xdr:nvGrpSpPr>
        <xdr:cNvPr id="7" name="Group 6">
          <a:extLst>
            <a:ext uri="{FF2B5EF4-FFF2-40B4-BE49-F238E27FC236}">
              <a16:creationId xmlns:a16="http://schemas.microsoft.com/office/drawing/2014/main" id="{00000000-0008-0000-0A00-000007000000}"/>
            </a:ext>
          </a:extLst>
        </xdr:cNvPr>
        <xdr:cNvGrpSpPr/>
      </xdr:nvGrpSpPr>
      <xdr:grpSpPr>
        <a:xfrm>
          <a:off x="792913" y="6610350"/>
          <a:ext cx="10819967" cy="704850"/>
          <a:chOff x="781216" y="0"/>
          <a:chExt cx="10660352" cy="704850"/>
        </a:xfrm>
      </xdr:grpSpPr>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10" name="Elbow Connector 9">
            <a:extLst>
              <a:ext uri="{FF2B5EF4-FFF2-40B4-BE49-F238E27FC236}">
                <a16:creationId xmlns:a16="http://schemas.microsoft.com/office/drawing/2014/main" id="{00000000-0008-0000-0A00-00000A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1" name="Elbow Connector 10">
            <a:extLst>
              <a:ext uri="{FF2B5EF4-FFF2-40B4-BE49-F238E27FC236}">
                <a16:creationId xmlns:a16="http://schemas.microsoft.com/office/drawing/2014/main" id="{00000000-0008-0000-0A00-00000B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23</xdr:row>
      <xdr:rowOff>19050</xdr:rowOff>
    </xdr:from>
    <xdr:to>
      <xdr:col>0</xdr:col>
      <xdr:colOff>790575</xdr:colOff>
      <xdr:row>23</xdr:row>
      <xdr:rowOff>742882</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629400"/>
          <a:ext cx="771525" cy="723832"/>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792913</xdr:colOff>
      <xdr:row>31</xdr:row>
      <xdr:rowOff>0</xdr:rowOff>
    </xdr:from>
    <xdr:to>
      <xdr:col>11</xdr:col>
      <xdr:colOff>878205</xdr:colOff>
      <xdr:row>31</xdr:row>
      <xdr:rowOff>704850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792913" y="9791700"/>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B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B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0</xdr:col>
      <xdr:colOff>790575</xdr:colOff>
      <xdr:row>31</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10750"/>
          <a:ext cx="771525" cy="723832"/>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779440</xdr:colOff>
      <xdr:row>6</xdr:row>
      <xdr:rowOff>0</xdr:rowOff>
    </xdr:from>
    <xdr:to>
      <xdr:col>5</xdr:col>
      <xdr:colOff>1467909</xdr:colOff>
      <xdr:row>6</xdr:row>
      <xdr:rowOff>704850</xdr:rowOff>
    </xdr:to>
    <xdr:grpSp>
      <xdr:nvGrpSpPr>
        <xdr:cNvPr id="7" name="Group 6">
          <a:extLst>
            <a:ext uri="{FF2B5EF4-FFF2-40B4-BE49-F238E27FC236}">
              <a16:creationId xmlns:a16="http://schemas.microsoft.com/office/drawing/2014/main" id="{00000000-0008-0000-0C00-000007000000}"/>
            </a:ext>
          </a:extLst>
        </xdr:cNvPr>
        <xdr:cNvGrpSpPr/>
      </xdr:nvGrpSpPr>
      <xdr:grpSpPr>
        <a:xfrm>
          <a:off x="779440" y="22764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C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C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790575</xdr:colOff>
      <xdr:row>6</xdr:row>
      <xdr:rowOff>742882</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95525"/>
          <a:ext cx="771525" cy="723832"/>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799401</xdr:colOff>
      <xdr:row>0</xdr:row>
      <xdr:rowOff>19050</xdr:rowOff>
    </xdr:from>
    <xdr:to>
      <xdr:col>5</xdr:col>
      <xdr:colOff>1050798</xdr:colOff>
      <xdr:row>0</xdr:row>
      <xdr:rowOff>723900</xdr:rowOff>
    </xdr:to>
    <xdr:grpSp>
      <xdr:nvGrpSpPr>
        <xdr:cNvPr id="30" name="Group 29">
          <a:extLst>
            <a:ext uri="{FF2B5EF4-FFF2-40B4-BE49-F238E27FC236}">
              <a16:creationId xmlns:a16="http://schemas.microsoft.com/office/drawing/2014/main" id="{00000000-0008-0000-0D00-00001E000000}"/>
            </a:ext>
          </a:extLst>
        </xdr:cNvPr>
        <xdr:cNvGrpSpPr/>
      </xdr:nvGrpSpPr>
      <xdr:grpSpPr>
        <a:xfrm>
          <a:off x="799401" y="19050"/>
          <a:ext cx="6461697" cy="704850"/>
          <a:chOff x="800100" y="19050"/>
          <a:chExt cx="6467475" cy="704850"/>
        </a:xfrm>
      </xdr:grpSpPr>
      <xdr:sp macro="" textlink="">
        <xdr:nvSpPr>
          <xdr:cNvPr id="32" name="TextBox 31">
            <a:extLst>
              <a:ext uri="{FF2B5EF4-FFF2-40B4-BE49-F238E27FC236}">
                <a16:creationId xmlns:a16="http://schemas.microsoft.com/office/drawing/2014/main" id="{00000000-0008-0000-0D00-000020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33" name="Elbow Connector 32">
            <a:extLst>
              <a:ext uri="{FF2B5EF4-FFF2-40B4-BE49-F238E27FC236}">
                <a16:creationId xmlns:a16="http://schemas.microsoft.com/office/drawing/2014/main" id="{00000000-0008-0000-0D00-000021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4" name="Elbow Connector 33">
            <a:extLst>
              <a:ext uri="{FF2B5EF4-FFF2-40B4-BE49-F238E27FC236}">
                <a16:creationId xmlns:a16="http://schemas.microsoft.com/office/drawing/2014/main" id="{00000000-0008-0000-0D00-000022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981075</xdr:colOff>
          <xdr:row>10</xdr:row>
          <xdr:rowOff>57150</xdr:rowOff>
        </xdr:from>
        <xdr:to>
          <xdr:col>5</xdr:col>
          <xdr:colOff>895350</xdr:colOff>
          <xdr:row>10</xdr:row>
          <xdr:rowOff>514350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D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981075</xdr:colOff>
          <xdr:row>11</xdr:row>
          <xdr:rowOff>66675</xdr:rowOff>
        </xdr:from>
        <xdr:to>
          <xdr:col>5</xdr:col>
          <xdr:colOff>895350</xdr:colOff>
          <xdr:row>11</xdr:row>
          <xdr:rowOff>523875</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D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26</xdr:row>
          <xdr:rowOff>142875</xdr:rowOff>
        </xdr:from>
        <xdr:to>
          <xdr:col>4</xdr:col>
          <xdr:colOff>609600</xdr:colOff>
          <xdr:row>26</xdr:row>
          <xdr:rowOff>466725</xdr:rowOff>
        </xdr:to>
        <xdr:sp macro="" textlink="">
          <xdr:nvSpPr>
            <xdr:cNvPr id="52269" name="Check Box 45" hidden="1">
              <a:extLst>
                <a:ext uri="{63B3BB69-23CF-44E3-9099-C40C66FF867C}">
                  <a14:compatExt spid="_x0000_s52269"/>
                </a:ext>
                <a:ext uri="{FF2B5EF4-FFF2-40B4-BE49-F238E27FC236}">
                  <a16:creationId xmlns:a16="http://schemas.microsoft.com/office/drawing/2014/main" id="{00000000-0008-0000-0D00-00002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26</xdr:row>
          <xdr:rowOff>142875</xdr:rowOff>
        </xdr:from>
        <xdr:to>
          <xdr:col>5</xdr:col>
          <xdr:colOff>609600</xdr:colOff>
          <xdr:row>26</xdr:row>
          <xdr:rowOff>466725</xdr:rowOff>
        </xdr:to>
        <xdr:sp macro="" textlink="">
          <xdr:nvSpPr>
            <xdr:cNvPr id="52270" name="Check Box 46" hidden="1">
              <a:extLst>
                <a:ext uri="{63B3BB69-23CF-44E3-9099-C40C66FF867C}">
                  <a14:compatExt spid="_x0000_s52270"/>
                </a:ext>
                <a:ext uri="{FF2B5EF4-FFF2-40B4-BE49-F238E27FC236}">
                  <a16:creationId xmlns:a16="http://schemas.microsoft.com/office/drawing/2014/main" id="{00000000-0008-0000-0D00-00002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161925</xdr:rowOff>
        </xdr:from>
        <xdr:to>
          <xdr:col>4</xdr:col>
          <xdr:colOff>609600</xdr:colOff>
          <xdr:row>4</xdr:row>
          <xdr:rowOff>485775</xdr:rowOff>
        </xdr:to>
        <xdr:sp macro="" textlink="">
          <xdr:nvSpPr>
            <xdr:cNvPr id="52273" name="Check Box 49" hidden="1">
              <a:extLst>
                <a:ext uri="{63B3BB69-23CF-44E3-9099-C40C66FF867C}">
                  <a14:compatExt spid="_x0000_s52273"/>
                </a:ext>
                <a:ext uri="{FF2B5EF4-FFF2-40B4-BE49-F238E27FC236}">
                  <a16:creationId xmlns:a16="http://schemas.microsoft.com/office/drawing/2014/main" id="{00000000-0008-0000-0D00-00003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xdr:row>
          <xdr:rowOff>161925</xdr:rowOff>
        </xdr:from>
        <xdr:to>
          <xdr:col>5</xdr:col>
          <xdr:colOff>609600</xdr:colOff>
          <xdr:row>4</xdr:row>
          <xdr:rowOff>485775</xdr:rowOff>
        </xdr:to>
        <xdr:sp macro="" textlink="">
          <xdr:nvSpPr>
            <xdr:cNvPr id="52274" name="Check Box 50" hidden="1">
              <a:extLst>
                <a:ext uri="{63B3BB69-23CF-44E3-9099-C40C66FF867C}">
                  <a14:compatExt spid="_x0000_s52274"/>
                </a:ext>
                <a:ext uri="{FF2B5EF4-FFF2-40B4-BE49-F238E27FC236}">
                  <a16:creationId xmlns:a16="http://schemas.microsoft.com/office/drawing/2014/main" id="{00000000-0008-0000-0D00-00003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171450</xdr:rowOff>
        </xdr:from>
        <xdr:to>
          <xdr:col>4</xdr:col>
          <xdr:colOff>609600</xdr:colOff>
          <xdr:row>5</xdr:row>
          <xdr:rowOff>495300</xdr:rowOff>
        </xdr:to>
        <xdr:sp macro="" textlink="">
          <xdr:nvSpPr>
            <xdr:cNvPr id="52276" name="Check Box 52" hidden="1">
              <a:extLst>
                <a:ext uri="{63B3BB69-23CF-44E3-9099-C40C66FF867C}">
                  <a14:compatExt spid="_x0000_s52276"/>
                </a:ext>
                <a:ext uri="{FF2B5EF4-FFF2-40B4-BE49-F238E27FC236}">
                  <a16:creationId xmlns:a16="http://schemas.microsoft.com/office/drawing/2014/main" id="{00000000-0008-0000-0D00-00003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xdr:row>
          <xdr:rowOff>171450</xdr:rowOff>
        </xdr:from>
        <xdr:to>
          <xdr:col>5</xdr:col>
          <xdr:colOff>609600</xdr:colOff>
          <xdr:row>5</xdr:row>
          <xdr:rowOff>495300</xdr:rowOff>
        </xdr:to>
        <xdr:sp macro="" textlink="">
          <xdr:nvSpPr>
            <xdr:cNvPr id="52277" name="Check Box 53" hidden="1">
              <a:extLst>
                <a:ext uri="{63B3BB69-23CF-44E3-9099-C40C66FF867C}">
                  <a14:compatExt spid="_x0000_s52277"/>
                </a:ext>
                <a:ext uri="{FF2B5EF4-FFF2-40B4-BE49-F238E27FC236}">
                  <a16:creationId xmlns:a16="http://schemas.microsoft.com/office/drawing/2014/main" id="{00000000-0008-0000-0D00-00003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171450</xdr:rowOff>
        </xdr:from>
        <xdr:to>
          <xdr:col>4</xdr:col>
          <xdr:colOff>609600</xdr:colOff>
          <xdr:row>15</xdr:row>
          <xdr:rowOff>495300</xdr:rowOff>
        </xdr:to>
        <xdr:sp macro="" textlink="">
          <xdr:nvSpPr>
            <xdr:cNvPr id="52280" name="Check Box 56" hidden="1">
              <a:extLst>
                <a:ext uri="{63B3BB69-23CF-44E3-9099-C40C66FF867C}">
                  <a14:compatExt spid="_x0000_s52280"/>
                </a:ext>
                <a:ext uri="{FF2B5EF4-FFF2-40B4-BE49-F238E27FC236}">
                  <a16:creationId xmlns:a16="http://schemas.microsoft.com/office/drawing/2014/main" id="{00000000-0008-0000-0D00-00003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15</xdr:row>
          <xdr:rowOff>171450</xdr:rowOff>
        </xdr:from>
        <xdr:to>
          <xdr:col>5</xdr:col>
          <xdr:colOff>609600</xdr:colOff>
          <xdr:row>15</xdr:row>
          <xdr:rowOff>495300</xdr:rowOff>
        </xdr:to>
        <xdr:sp macro="" textlink="">
          <xdr:nvSpPr>
            <xdr:cNvPr id="52281" name="Check Box 57" hidden="1">
              <a:extLst>
                <a:ext uri="{63B3BB69-23CF-44E3-9099-C40C66FF867C}">
                  <a14:compatExt spid="_x0000_s52281"/>
                </a:ext>
                <a:ext uri="{FF2B5EF4-FFF2-40B4-BE49-F238E27FC236}">
                  <a16:creationId xmlns:a16="http://schemas.microsoft.com/office/drawing/2014/main" id="{00000000-0008-0000-0D00-00003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20</xdr:row>
          <xdr:rowOff>133350</xdr:rowOff>
        </xdr:from>
        <xdr:to>
          <xdr:col>4</xdr:col>
          <xdr:colOff>609600</xdr:colOff>
          <xdr:row>20</xdr:row>
          <xdr:rowOff>457200</xdr:rowOff>
        </xdr:to>
        <xdr:sp macro="" textlink="">
          <xdr:nvSpPr>
            <xdr:cNvPr id="52282" name="Check Box 58" hidden="1">
              <a:extLst>
                <a:ext uri="{63B3BB69-23CF-44E3-9099-C40C66FF867C}">
                  <a14:compatExt spid="_x0000_s52282"/>
                </a:ext>
                <a:ext uri="{FF2B5EF4-FFF2-40B4-BE49-F238E27FC236}">
                  <a16:creationId xmlns:a16="http://schemas.microsoft.com/office/drawing/2014/main" id="{00000000-0008-0000-0D00-00003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133350</xdr:rowOff>
        </xdr:from>
        <xdr:to>
          <xdr:col>5</xdr:col>
          <xdr:colOff>609600</xdr:colOff>
          <xdr:row>20</xdr:row>
          <xdr:rowOff>457200</xdr:rowOff>
        </xdr:to>
        <xdr:sp macro="" textlink="">
          <xdr:nvSpPr>
            <xdr:cNvPr id="52283" name="Check Box 59" hidden="1">
              <a:extLst>
                <a:ext uri="{63B3BB69-23CF-44E3-9099-C40C66FF867C}">
                  <a14:compatExt spid="_x0000_s52283"/>
                </a:ext>
                <a:ext uri="{FF2B5EF4-FFF2-40B4-BE49-F238E27FC236}">
                  <a16:creationId xmlns:a16="http://schemas.microsoft.com/office/drawing/2014/main" id="{00000000-0008-0000-0D00-00003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0</xdr:row>
      <xdr:rowOff>19050</xdr:rowOff>
    </xdr:from>
    <xdr:to>
      <xdr:col>0</xdr:col>
      <xdr:colOff>790575</xdr:colOff>
      <xdr:row>0</xdr:row>
      <xdr:rowOff>742882</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9050"/>
          <a:ext cx="771525" cy="723832"/>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99621</xdr:colOff>
      <xdr:row>14</xdr:row>
      <xdr:rowOff>0</xdr:rowOff>
    </xdr:from>
    <xdr:to>
      <xdr:col>9</xdr:col>
      <xdr:colOff>1663827</xdr:colOff>
      <xdr:row>14</xdr:row>
      <xdr:rowOff>704850</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785421" y="5667375"/>
          <a:ext cx="10717731" cy="704850"/>
          <a:chOff x="781216" y="0"/>
          <a:chExt cx="10660352" cy="704850"/>
        </a:xfrm>
      </xdr:grpSpPr>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E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E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14</xdr:row>
      <xdr:rowOff>19050</xdr:rowOff>
    </xdr:from>
    <xdr:to>
      <xdr:col>1</xdr:col>
      <xdr:colOff>104775</xdr:colOff>
      <xdr:row>14</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E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686425"/>
          <a:ext cx="771525" cy="723832"/>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85724</xdr:colOff>
      <xdr:row>17</xdr:row>
      <xdr:rowOff>0</xdr:rowOff>
    </xdr:from>
    <xdr:to>
      <xdr:col>13</xdr:col>
      <xdr:colOff>733424</xdr:colOff>
      <xdr:row>17</xdr:row>
      <xdr:rowOff>704850</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771524" y="7277100"/>
          <a:ext cx="10753725" cy="704850"/>
          <a:chOff x="732498" y="12534900"/>
          <a:chExt cx="10726077" cy="704850"/>
        </a:xfrm>
      </xdr:grpSpPr>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F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F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28575</xdr:colOff>
          <xdr:row>21</xdr:row>
          <xdr:rowOff>152400</xdr:rowOff>
        </xdr:from>
        <xdr:to>
          <xdr:col>3</xdr:col>
          <xdr:colOff>781050</xdr:colOff>
          <xdr:row>21</xdr:row>
          <xdr:rowOff>371475</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F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22</xdr:row>
          <xdr:rowOff>152400</xdr:rowOff>
        </xdr:from>
        <xdr:to>
          <xdr:col>3</xdr:col>
          <xdr:colOff>781050</xdr:colOff>
          <xdr:row>22</xdr:row>
          <xdr:rowOff>371475</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F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26</xdr:row>
          <xdr:rowOff>219075</xdr:rowOff>
        </xdr:from>
        <xdr:to>
          <xdr:col>3</xdr:col>
          <xdr:colOff>781050</xdr:colOff>
          <xdr:row>26</xdr:row>
          <xdr:rowOff>438150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F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27</xdr:row>
          <xdr:rowOff>219075</xdr:rowOff>
        </xdr:from>
        <xdr:to>
          <xdr:col>3</xdr:col>
          <xdr:colOff>781050</xdr:colOff>
          <xdr:row>27</xdr:row>
          <xdr:rowOff>438150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F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28</xdr:row>
      <xdr:rowOff>38104</xdr:rowOff>
    </xdr:from>
    <xdr:to>
      <xdr:col>13</xdr:col>
      <xdr:colOff>733425</xdr:colOff>
      <xdr:row>28</xdr:row>
      <xdr:rowOff>739444</xdr:rowOff>
    </xdr:to>
    <xdr:grpSp>
      <xdr:nvGrpSpPr>
        <xdr:cNvPr id="11" name="Group 10">
          <a:extLst>
            <a:ext uri="{FF2B5EF4-FFF2-40B4-BE49-F238E27FC236}">
              <a16:creationId xmlns:a16="http://schemas.microsoft.com/office/drawing/2014/main" id="{00000000-0008-0000-0F00-00000B000000}"/>
            </a:ext>
          </a:extLst>
        </xdr:cNvPr>
        <xdr:cNvGrpSpPr/>
      </xdr:nvGrpSpPr>
      <xdr:grpSpPr>
        <a:xfrm>
          <a:off x="781050" y="12811129"/>
          <a:ext cx="10744200" cy="701340"/>
          <a:chOff x="732498" y="12534900"/>
          <a:chExt cx="10726077" cy="704850"/>
        </a:xfrm>
      </xdr:grpSpPr>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14" name="Elbow Connector 13">
            <a:extLst>
              <a:ext uri="{FF2B5EF4-FFF2-40B4-BE49-F238E27FC236}">
                <a16:creationId xmlns:a16="http://schemas.microsoft.com/office/drawing/2014/main" id="{00000000-0008-0000-0F00-00000E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5" name="Elbow Connector 14">
            <a:extLst>
              <a:ext uri="{FF2B5EF4-FFF2-40B4-BE49-F238E27FC236}">
                <a16:creationId xmlns:a16="http://schemas.microsoft.com/office/drawing/2014/main" id="{00000000-0008-0000-0F00-00000F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17</xdr:row>
      <xdr:rowOff>19050</xdr:rowOff>
    </xdr:from>
    <xdr:to>
      <xdr:col>1</xdr:col>
      <xdr:colOff>104775</xdr:colOff>
      <xdr:row>17</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296150"/>
          <a:ext cx="771525" cy="723832"/>
        </a:xfrm>
        <a:prstGeom prst="rect">
          <a:avLst/>
        </a:prstGeom>
        <a:noFill/>
        <a:ln>
          <a:noFill/>
        </a:ln>
      </xdr:spPr>
    </xdr:pic>
    <xdr:clientData/>
  </xdr:twoCellAnchor>
  <xdr:twoCellAnchor editAs="oneCell">
    <xdr:from>
      <xdr:col>0</xdr:col>
      <xdr:colOff>19050</xdr:colOff>
      <xdr:row>28</xdr:row>
      <xdr:rowOff>19050</xdr:rowOff>
    </xdr:from>
    <xdr:to>
      <xdr:col>1</xdr:col>
      <xdr:colOff>104775</xdr:colOff>
      <xdr:row>28</xdr:row>
      <xdr:rowOff>742882</xdr:rowOff>
    </xdr:to>
    <xdr:pic>
      <xdr:nvPicPr>
        <xdr:cNvPr id="3" name="Picture 2" descr="Graphical user interface, text&#10;&#10;Description automatically generated with medium confidence">
          <a:extLst>
            <a:ext uri="{FF2B5EF4-FFF2-40B4-BE49-F238E27FC236}">
              <a16:creationId xmlns:a16="http://schemas.microsoft.com/office/drawing/2014/main" id="{B1541132-E59C-44F0-BDD4-DE8E5FEEB6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2792075"/>
          <a:ext cx="771525" cy="723832"/>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28150</xdr:colOff>
      <xdr:row>6</xdr:row>
      <xdr:rowOff>0</xdr:rowOff>
    </xdr:from>
    <xdr:to>
      <xdr:col>12</xdr:col>
      <xdr:colOff>812534</xdr:colOff>
      <xdr:row>6</xdr:row>
      <xdr:rowOff>704850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780625" y="2209800"/>
          <a:ext cx="10652284" cy="704850"/>
          <a:chOff x="781216" y="0"/>
          <a:chExt cx="10660352" cy="704850"/>
        </a:xfrm>
      </xdr:grpSpPr>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0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0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1</xdr:col>
      <xdr:colOff>38100</xdr:colOff>
      <xdr:row>6</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28850"/>
          <a:ext cx="771525" cy="723832"/>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792913</xdr:colOff>
      <xdr:row>16</xdr:row>
      <xdr:rowOff>0</xdr:rowOff>
    </xdr:from>
    <xdr:to>
      <xdr:col>11</xdr:col>
      <xdr:colOff>773430</xdr:colOff>
      <xdr:row>16</xdr:row>
      <xdr:rowOff>704850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792913" y="5114925"/>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1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1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16</xdr:row>
      <xdr:rowOff>19050</xdr:rowOff>
    </xdr:from>
    <xdr:to>
      <xdr:col>0</xdr:col>
      <xdr:colOff>790575</xdr:colOff>
      <xdr:row>16</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133975"/>
          <a:ext cx="771525" cy="723832"/>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798948</xdr:colOff>
      <xdr:row>22</xdr:row>
      <xdr:rowOff>0</xdr:rowOff>
    </xdr:from>
    <xdr:to>
      <xdr:col>12</xdr:col>
      <xdr:colOff>4572</xdr:colOff>
      <xdr:row>22</xdr:row>
      <xdr:rowOff>704850</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798948" y="6772275"/>
          <a:ext cx="10902324" cy="704850"/>
          <a:chOff x="781216" y="0"/>
          <a:chExt cx="10660352" cy="704850"/>
        </a:xfrm>
      </xdr:grpSpPr>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2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2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22</xdr:row>
      <xdr:rowOff>19050</xdr:rowOff>
    </xdr:from>
    <xdr:to>
      <xdr:col>0</xdr:col>
      <xdr:colOff>790575</xdr:colOff>
      <xdr:row>22</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791325"/>
          <a:ext cx="771525" cy="723832"/>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779440</xdr:colOff>
      <xdr:row>7</xdr:row>
      <xdr:rowOff>0</xdr:rowOff>
    </xdr:from>
    <xdr:to>
      <xdr:col>5</xdr:col>
      <xdr:colOff>1467909</xdr:colOff>
      <xdr:row>7</xdr:row>
      <xdr:rowOff>704850</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779440" y="20097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3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3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7</xdr:row>
      <xdr:rowOff>19050</xdr:rowOff>
    </xdr:from>
    <xdr:to>
      <xdr:col>0</xdr:col>
      <xdr:colOff>790575</xdr:colOff>
      <xdr:row>7</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28825"/>
          <a:ext cx="771525" cy="72383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1427895</xdr:colOff>
      <xdr:row>0</xdr:row>
      <xdr:rowOff>0</xdr:rowOff>
    </xdr:from>
    <xdr:to>
      <xdr:col>5</xdr:col>
      <xdr:colOff>1044538</xdr:colOff>
      <xdr:row>5</xdr:row>
      <xdr:rowOff>123825</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427895" y="0"/>
          <a:ext cx="5826943" cy="1390650"/>
          <a:chOff x="8407015" y="2439154"/>
          <a:chExt cx="6469672" cy="1520059"/>
        </a:xfrm>
      </xdr:grpSpPr>
      <xdr:grpSp>
        <xdr:nvGrpSpPr>
          <xdr:cNvPr id="2" name="Group 1">
            <a:extLst>
              <a:ext uri="{FF2B5EF4-FFF2-40B4-BE49-F238E27FC236}">
                <a16:creationId xmlns:a16="http://schemas.microsoft.com/office/drawing/2014/main" id="{00000000-0008-0000-0100-000002000000}"/>
              </a:ext>
            </a:extLst>
          </xdr:cNvPr>
          <xdr:cNvGrpSpPr/>
        </xdr:nvGrpSpPr>
        <xdr:grpSpPr>
          <a:xfrm>
            <a:off x="8407015" y="2439154"/>
            <a:ext cx="6469672" cy="1520059"/>
            <a:chOff x="8424127" y="2458170"/>
            <a:chExt cx="6477453" cy="1507958"/>
          </a:xfrm>
        </xdr:grpSpPr>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8424127" y="2458170"/>
              <a:ext cx="6477453" cy="1507958"/>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600" b="1"/>
                <a:t>Air</a:t>
              </a:r>
              <a:r>
                <a:rPr lang="en-US" sz="1600" b="1" baseline="0"/>
                <a:t> Quality Permit Application Form - Physical Plant</a:t>
              </a:r>
            </a:p>
            <a:p>
              <a:r>
                <a:rPr lang="en-US" sz="1200" b="1" baseline="0"/>
                <a:t>  Lincoln-Lancaster County Health Department</a:t>
              </a:r>
            </a:p>
            <a:p>
              <a:r>
                <a:rPr lang="en-US" sz="1200" b="1" baseline="0"/>
                <a:t>  Environmental Public Health Division - Air Quality Program</a:t>
              </a:r>
            </a:p>
            <a:p>
              <a:r>
                <a:rPr lang="en-US" sz="1200" b="1" baseline="0"/>
                <a:t>  Lincoln, NE 68510</a:t>
              </a:r>
            </a:p>
            <a:p>
              <a:r>
                <a:rPr lang="en-US" sz="1200" b="1" baseline="0"/>
                <a:t>  ph: (402) 441-8040	fax: (402) 441-3890</a:t>
              </a:r>
            </a:p>
            <a:p>
              <a:endParaRPr lang="en-US" sz="600" b="1" baseline="0"/>
            </a:p>
            <a:p>
              <a:r>
                <a:rPr lang="en-US" sz="1200" b="1" baseline="0"/>
                <a:t>  </a:t>
              </a:r>
              <a:endParaRPr lang="en-US" sz="1100" b="0"/>
            </a:p>
          </xdr:txBody>
        </xdr:sp>
        <xdr:cxnSp macro="">
          <xdr:nvCxnSpPr>
            <xdr:cNvPr id="39" name="Elbow Connector 38">
              <a:extLst>
                <a:ext uri="{FF2B5EF4-FFF2-40B4-BE49-F238E27FC236}">
                  <a16:creationId xmlns:a16="http://schemas.microsoft.com/office/drawing/2014/main" id="{00000000-0008-0000-0100-000027000000}"/>
                </a:ext>
              </a:extLst>
            </xdr:cNvPr>
            <xdr:cNvCxnSpPr/>
          </xdr:nvCxnSpPr>
          <xdr:spPr>
            <a:xfrm flipV="1">
              <a:off x="8431248" y="2466671"/>
              <a:ext cx="6455606" cy="148357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40" name="Elbow Connector 39">
              <a:extLst>
                <a:ext uri="{FF2B5EF4-FFF2-40B4-BE49-F238E27FC236}">
                  <a16:creationId xmlns:a16="http://schemas.microsoft.com/office/drawing/2014/main" id="{00000000-0008-0000-0100-000028000000}"/>
                </a:ext>
              </a:extLst>
            </xdr:cNvPr>
            <xdr:cNvCxnSpPr/>
          </xdr:nvCxnSpPr>
          <xdr:spPr>
            <a:xfrm flipV="1">
              <a:off x="8507380" y="2542873"/>
              <a:ext cx="6309302" cy="1339382"/>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8477909" y="3608825"/>
            <a:ext cx="468909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200" b="1" u="sng" baseline="0">
                <a:solidFill>
                  <a:srgbClr val="0000FF"/>
                </a:solidFill>
                <a:effectLst/>
                <a:latin typeface="+mn-lt"/>
                <a:ea typeface="+mn-ea"/>
                <a:cs typeface="+mn-cs"/>
              </a:rPr>
              <a:t>http://www.lincoln.ne.gov/city/health/environ/air.htm</a:t>
            </a:r>
            <a:endParaRPr lang="en-US" sz="1200">
              <a:solidFill>
                <a:srgbClr val="0000FF"/>
              </a:solidFill>
              <a:effectLst/>
            </a:endParaRPr>
          </a:p>
          <a:p>
            <a:endParaRPr lang="en-US" sz="1200">
              <a:solidFill>
                <a:srgbClr val="0000FF"/>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3</xdr:col>
          <xdr:colOff>66675</xdr:colOff>
          <xdr:row>23</xdr:row>
          <xdr:rowOff>95250</xdr:rowOff>
        </xdr:from>
        <xdr:to>
          <xdr:col>3</xdr:col>
          <xdr:colOff>981075</xdr:colOff>
          <xdr:row>24</xdr:row>
          <xdr:rowOff>114300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85725</xdr:rowOff>
        </xdr:from>
        <xdr:to>
          <xdr:col>4</xdr:col>
          <xdr:colOff>971550</xdr:colOff>
          <xdr:row>24</xdr:row>
          <xdr:rowOff>114300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85725</xdr:rowOff>
        </xdr:from>
        <xdr:to>
          <xdr:col>5</xdr:col>
          <xdr:colOff>971550</xdr:colOff>
          <xdr:row>24</xdr:row>
          <xdr:rowOff>114300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857250</xdr:colOff>
          <xdr:row>14</xdr:row>
          <xdr:rowOff>19050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1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857250</xdr:colOff>
          <xdr:row>15</xdr:row>
          <xdr:rowOff>19050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38100</xdr:rowOff>
        </xdr:from>
        <xdr:to>
          <xdr:col>2</xdr:col>
          <xdr:colOff>561975</xdr:colOff>
          <xdr:row>35</xdr:row>
          <xdr:rowOff>247650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1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85725</xdr:colOff>
          <xdr:row>36</xdr:row>
          <xdr:rowOff>38100</xdr:rowOff>
        </xdr:from>
        <xdr:to>
          <xdr:col>2</xdr:col>
          <xdr:colOff>647700</xdr:colOff>
          <xdr:row>36</xdr:row>
          <xdr:rowOff>247650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1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0</xdr:rowOff>
        </xdr:from>
        <xdr:to>
          <xdr:col>2</xdr:col>
          <xdr:colOff>847725</xdr:colOff>
          <xdr:row>7</xdr:row>
          <xdr:rowOff>9525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1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200025</xdr:rowOff>
        </xdr:from>
        <xdr:to>
          <xdr:col>2</xdr:col>
          <xdr:colOff>847725</xdr:colOff>
          <xdr:row>8</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1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0</xdr:rowOff>
        </xdr:from>
        <xdr:to>
          <xdr:col>5</xdr:col>
          <xdr:colOff>419100</xdr:colOff>
          <xdr:row>7</xdr:row>
          <xdr:rowOff>9525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200025</xdr:rowOff>
        </xdr:from>
        <xdr:to>
          <xdr:col>5</xdr:col>
          <xdr:colOff>419100</xdr:colOff>
          <xdr:row>8</xdr:row>
          <xdr:rowOff>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1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42</xdr:row>
          <xdr:rowOff>28575</xdr:rowOff>
        </xdr:from>
        <xdr:to>
          <xdr:col>4</xdr:col>
          <xdr:colOff>876300</xdr:colOff>
          <xdr:row>42</xdr:row>
          <xdr:rowOff>238125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42</xdr:row>
          <xdr:rowOff>28575</xdr:rowOff>
        </xdr:from>
        <xdr:to>
          <xdr:col>5</xdr:col>
          <xdr:colOff>876300</xdr:colOff>
          <xdr:row>42</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43</xdr:row>
          <xdr:rowOff>28575</xdr:rowOff>
        </xdr:from>
        <xdr:to>
          <xdr:col>3</xdr:col>
          <xdr:colOff>942975</xdr:colOff>
          <xdr:row>43</xdr:row>
          <xdr:rowOff>228600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44</xdr:row>
          <xdr:rowOff>28575</xdr:rowOff>
        </xdr:from>
        <xdr:to>
          <xdr:col>3</xdr:col>
          <xdr:colOff>942975</xdr:colOff>
          <xdr:row>44</xdr:row>
          <xdr:rowOff>228600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1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28575</xdr:rowOff>
        </xdr:from>
        <xdr:to>
          <xdr:col>5</xdr:col>
          <xdr:colOff>942975</xdr:colOff>
          <xdr:row>43</xdr:row>
          <xdr:rowOff>228600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1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46</xdr:row>
          <xdr:rowOff>95250</xdr:rowOff>
        </xdr:from>
        <xdr:to>
          <xdr:col>4</xdr:col>
          <xdr:colOff>885825</xdr:colOff>
          <xdr:row>46</xdr:row>
          <xdr:rowOff>304800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1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46</xdr:row>
          <xdr:rowOff>95250</xdr:rowOff>
        </xdr:from>
        <xdr:to>
          <xdr:col>5</xdr:col>
          <xdr:colOff>876300</xdr:colOff>
          <xdr:row>46</xdr:row>
          <xdr:rowOff>304800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1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49</xdr:row>
          <xdr:rowOff>28575</xdr:rowOff>
        </xdr:from>
        <xdr:to>
          <xdr:col>3</xdr:col>
          <xdr:colOff>942975</xdr:colOff>
          <xdr:row>49</xdr:row>
          <xdr:rowOff>228600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1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50</xdr:row>
          <xdr:rowOff>19050</xdr:rowOff>
        </xdr:from>
        <xdr:to>
          <xdr:col>5</xdr:col>
          <xdr:colOff>752475</xdr:colOff>
          <xdr:row>50</xdr:row>
          <xdr:rowOff>219075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1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49</xdr:row>
          <xdr:rowOff>28575</xdr:rowOff>
        </xdr:from>
        <xdr:to>
          <xdr:col>5</xdr:col>
          <xdr:colOff>952500</xdr:colOff>
          <xdr:row>49</xdr:row>
          <xdr:rowOff>228600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1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55</xdr:row>
          <xdr:rowOff>104775</xdr:rowOff>
        </xdr:from>
        <xdr:to>
          <xdr:col>0</xdr:col>
          <xdr:colOff>1219200</xdr:colOff>
          <xdr:row>55</xdr:row>
          <xdr:rowOff>295275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56</xdr:row>
          <xdr:rowOff>114300</xdr:rowOff>
        </xdr:from>
        <xdr:to>
          <xdr:col>0</xdr:col>
          <xdr:colOff>1219200</xdr:colOff>
          <xdr:row>56</xdr:row>
          <xdr:rowOff>304800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58</xdr:row>
          <xdr:rowOff>9525</xdr:rowOff>
        </xdr:from>
        <xdr:to>
          <xdr:col>0</xdr:col>
          <xdr:colOff>1219200</xdr:colOff>
          <xdr:row>58</xdr:row>
          <xdr:rowOff>219075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59</xdr:row>
          <xdr:rowOff>0</xdr:rowOff>
        </xdr:from>
        <xdr:to>
          <xdr:col>0</xdr:col>
          <xdr:colOff>1219200</xdr:colOff>
          <xdr:row>59</xdr:row>
          <xdr:rowOff>209550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61</xdr:row>
          <xdr:rowOff>28575</xdr:rowOff>
        </xdr:from>
        <xdr:to>
          <xdr:col>0</xdr:col>
          <xdr:colOff>1219200</xdr:colOff>
          <xdr:row>61</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1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62</xdr:row>
          <xdr:rowOff>28575</xdr:rowOff>
        </xdr:from>
        <xdr:to>
          <xdr:col>0</xdr:col>
          <xdr:colOff>1219200</xdr:colOff>
          <xdr:row>62</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1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63</xdr:row>
          <xdr:rowOff>28575</xdr:rowOff>
        </xdr:from>
        <xdr:to>
          <xdr:col>0</xdr:col>
          <xdr:colOff>1219200</xdr:colOff>
          <xdr:row>63</xdr:row>
          <xdr:rowOff>238125</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1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65</xdr:row>
          <xdr:rowOff>219075</xdr:rowOff>
        </xdr:from>
        <xdr:to>
          <xdr:col>0</xdr:col>
          <xdr:colOff>1219200</xdr:colOff>
          <xdr:row>65</xdr:row>
          <xdr:rowOff>428625</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1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66</xdr:row>
          <xdr:rowOff>219075</xdr:rowOff>
        </xdr:from>
        <xdr:to>
          <xdr:col>0</xdr:col>
          <xdr:colOff>1219200</xdr:colOff>
          <xdr:row>66</xdr:row>
          <xdr:rowOff>428625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1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390525</xdr:rowOff>
        </xdr:from>
        <xdr:to>
          <xdr:col>3</xdr:col>
          <xdr:colOff>0</xdr:colOff>
          <xdr:row>64</xdr:row>
          <xdr:rowOff>571500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1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161925</xdr:rowOff>
        </xdr:from>
        <xdr:to>
          <xdr:col>5</xdr:col>
          <xdr:colOff>742950</xdr:colOff>
          <xdr:row>65</xdr:row>
          <xdr:rowOff>523875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1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23</xdr:row>
          <xdr:rowOff>0</xdr:rowOff>
        </xdr:from>
        <xdr:to>
          <xdr:col>1</xdr:col>
          <xdr:colOff>857250</xdr:colOff>
          <xdr:row>24</xdr:row>
          <xdr:rowOff>19050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1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24</xdr:row>
          <xdr:rowOff>0</xdr:rowOff>
        </xdr:from>
        <xdr:to>
          <xdr:col>1</xdr:col>
          <xdr:colOff>857250</xdr:colOff>
          <xdr:row>25</xdr:row>
          <xdr:rowOff>19050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1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1</xdr:col>
          <xdr:colOff>857250</xdr:colOff>
          <xdr:row>26</xdr:row>
          <xdr:rowOff>19050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1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0</xdr:rowOff>
        </xdr:from>
        <xdr:to>
          <xdr:col>1</xdr:col>
          <xdr:colOff>857250</xdr:colOff>
          <xdr:row>27</xdr:row>
          <xdr:rowOff>19050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1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51</xdr:row>
          <xdr:rowOff>28575</xdr:rowOff>
        </xdr:from>
        <xdr:to>
          <xdr:col>3</xdr:col>
          <xdr:colOff>942975</xdr:colOff>
          <xdr:row>51</xdr:row>
          <xdr:rowOff>228600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1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51</xdr:row>
          <xdr:rowOff>28575</xdr:rowOff>
        </xdr:from>
        <xdr:to>
          <xdr:col>5</xdr:col>
          <xdr:colOff>952500</xdr:colOff>
          <xdr:row>51</xdr:row>
          <xdr:rowOff>228600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1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57150</xdr:colOff>
      <xdr:row>0</xdr:row>
      <xdr:rowOff>95250</xdr:rowOff>
    </xdr:from>
    <xdr:to>
      <xdr:col>0</xdr:col>
      <xdr:colOff>1419224</xdr:colOff>
      <xdr:row>5</xdr:row>
      <xdr:rowOff>106302</xdr:rowOff>
    </xdr:to>
    <xdr:pic>
      <xdr:nvPicPr>
        <xdr:cNvPr id="6" name="Picture 5" descr="Graphical user interface, text&#10;&#10;Description automatically generated with medium confidenc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67113"/>
        <a:stretch>
          <a:fillRect/>
        </a:stretch>
      </xdr:blipFill>
      <xdr:spPr bwMode="auto">
        <a:xfrm>
          <a:off x="57150" y="95250"/>
          <a:ext cx="1362074" cy="1277877"/>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803176</xdr:colOff>
      <xdr:row>19</xdr:row>
      <xdr:rowOff>19050</xdr:rowOff>
    </xdr:from>
    <xdr:to>
      <xdr:col>5</xdr:col>
      <xdr:colOff>1343024</xdr:colOff>
      <xdr:row>19</xdr:row>
      <xdr:rowOff>723900</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803176" y="7458075"/>
          <a:ext cx="6492973" cy="704850"/>
          <a:chOff x="800100" y="19050"/>
          <a:chExt cx="6467475" cy="704850"/>
        </a:xfrm>
      </xdr:grpSpPr>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eaLnBrk="1" fontAlgn="auto" latinLnBrk="0" hangingPunct="1"/>
            <a:r>
              <a:rPr lang="en-US" sz="1100" b="1">
                <a:solidFill>
                  <a:schemeClr val="dk1"/>
                </a:solidFill>
                <a:effectLst/>
                <a:latin typeface="+mn-lt"/>
                <a:ea typeface="+mn-ea"/>
                <a:cs typeface="+mn-cs"/>
              </a:rPr>
              <a:t>  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4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4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0</xdr:colOff>
          <xdr:row>24</xdr:row>
          <xdr:rowOff>19050</xdr:rowOff>
        </xdr:from>
        <xdr:to>
          <xdr:col>3</xdr:col>
          <xdr:colOff>781050</xdr:colOff>
          <xdr:row>24</xdr:row>
          <xdr:rowOff>228600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14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781050</xdr:colOff>
          <xdr:row>24</xdr:row>
          <xdr:rowOff>428625</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14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19050</xdr:rowOff>
        </xdr:from>
        <xdr:to>
          <xdr:col>3</xdr:col>
          <xdr:colOff>781050</xdr:colOff>
          <xdr:row>25</xdr:row>
          <xdr:rowOff>228600</xdr:rowOff>
        </xdr:to>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14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781050</xdr:colOff>
          <xdr:row>25</xdr:row>
          <xdr:rowOff>428625</xdr:rowOff>
        </xdr:to>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14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3</xdr:col>
          <xdr:colOff>781050</xdr:colOff>
          <xdr:row>26</xdr:row>
          <xdr:rowOff>209550</xdr:rowOff>
        </xdr:to>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1400-00000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200025</xdr:rowOff>
        </xdr:from>
        <xdr:to>
          <xdr:col>3</xdr:col>
          <xdr:colOff>781050</xdr:colOff>
          <xdr:row>26</xdr:row>
          <xdr:rowOff>409575</xdr:rowOff>
        </xdr:to>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1400-00000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3</xdr:col>
          <xdr:colOff>781050</xdr:colOff>
          <xdr:row>27</xdr:row>
          <xdr:rowOff>209550</xdr:rowOff>
        </xdr:to>
        <xdr:sp macro="" textlink="">
          <xdr:nvSpPr>
            <xdr:cNvPr id="108551" name="Check Box 7" hidden="1">
              <a:extLst>
                <a:ext uri="{63B3BB69-23CF-44E3-9099-C40C66FF867C}">
                  <a14:compatExt spid="_x0000_s108551"/>
                </a:ext>
                <a:ext uri="{FF2B5EF4-FFF2-40B4-BE49-F238E27FC236}">
                  <a16:creationId xmlns:a16="http://schemas.microsoft.com/office/drawing/2014/main" id="{00000000-0008-0000-1400-00000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200025</xdr:rowOff>
        </xdr:from>
        <xdr:to>
          <xdr:col>3</xdr:col>
          <xdr:colOff>781050</xdr:colOff>
          <xdr:row>27</xdr:row>
          <xdr:rowOff>409575</xdr:rowOff>
        </xdr:to>
        <xdr:sp macro="" textlink="">
          <xdr:nvSpPr>
            <xdr:cNvPr id="108552" name="Check Box 8" hidden="1">
              <a:extLst>
                <a:ext uri="{63B3BB69-23CF-44E3-9099-C40C66FF867C}">
                  <a14:compatExt spid="_x0000_s108552"/>
                </a:ext>
                <a:ext uri="{FF2B5EF4-FFF2-40B4-BE49-F238E27FC236}">
                  <a16:creationId xmlns:a16="http://schemas.microsoft.com/office/drawing/2014/main" id="{00000000-0008-0000-1400-00000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3</xdr:col>
          <xdr:colOff>781050</xdr:colOff>
          <xdr:row>28</xdr:row>
          <xdr:rowOff>209550</xdr:rowOff>
        </xdr:to>
        <xdr:sp macro="" textlink="">
          <xdr:nvSpPr>
            <xdr:cNvPr id="108553" name="Check Box 9" hidden="1">
              <a:extLst>
                <a:ext uri="{63B3BB69-23CF-44E3-9099-C40C66FF867C}">
                  <a14:compatExt spid="_x0000_s108553"/>
                </a:ext>
                <a:ext uri="{FF2B5EF4-FFF2-40B4-BE49-F238E27FC236}">
                  <a16:creationId xmlns:a16="http://schemas.microsoft.com/office/drawing/2014/main" id="{00000000-0008-0000-1400-00000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200025</xdr:rowOff>
        </xdr:from>
        <xdr:to>
          <xdr:col>3</xdr:col>
          <xdr:colOff>781050</xdr:colOff>
          <xdr:row>28</xdr:row>
          <xdr:rowOff>409575</xdr:rowOff>
        </xdr:to>
        <xdr:sp macro="" textlink="">
          <xdr:nvSpPr>
            <xdr:cNvPr id="108554" name="Check Box 10" hidden="1">
              <a:extLst>
                <a:ext uri="{63B3BB69-23CF-44E3-9099-C40C66FF867C}">
                  <a14:compatExt spid="_x0000_s108554"/>
                </a:ext>
                <a:ext uri="{FF2B5EF4-FFF2-40B4-BE49-F238E27FC236}">
                  <a16:creationId xmlns:a16="http://schemas.microsoft.com/office/drawing/2014/main" id="{00000000-0008-0000-1400-00000A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3</xdr:col>
          <xdr:colOff>781050</xdr:colOff>
          <xdr:row>29</xdr:row>
          <xdr:rowOff>209550</xdr:rowOff>
        </xdr:to>
        <xdr:sp macro="" textlink="">
          <xdr:nvSpPr>
            <xdr:cNvPr id="108555" name="Check Box 11" hidden="1">
              <a:extLst>
                <a:ext uri="{63B3BB69-23CF-44E3-9099-C40C66FF867C}">
                  <a14:compatExt spid="_x0000_s108555"/>
                </a:ext>
                <a:ext uri="{FF2B5EF4-FFF2-40B4-BE49-F238E27FC236}">
                  <a16:creationId xmlns:a16="http://schemas.microsoft.com/office/drawing/2014/main" id="{00000000-0008-0000-1400-00000B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200025</xdr:rowOff>
        </xdr:from>
        <xdr:to>
          <xdr:col>3</xdr:col>
          <xdr:colOff>781050</xdr:colOff>
          <xdr:row>29</xdr:row>
          <xdr:rowOff>409575</xdr:rowOff>
        </xdr:to>
        <xdr:sp macro="" textlink="">
          <xdr:nvSpPr>
            <xdr:cNvPr id="108556" name="Check Box 12" hidden="1">
              <a:extLst>
                <a:ext uri="{63B3BB69-23CF-44E3-9099-C40C66FF867C}">
                  <a14:compatExt spid="_x0000_s108556"/>
                </a:ext>
                <a:ext uri="{FF2B5EF4-FFF2-40B4-BE49-F238E27FC236}">
                  <a16:creationId xmlns:a16="http://schemas.microsoft.com/office/drawing/2014/main" id="{00000000-0008-0000-1400-00000C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108557" name="Check Box 13" hidden="1">
              <a:extLst>
                <a:ext uri="{63B3BB69-23CF-44E3-9099-C40C66FF867C}">
                  <a14:compatExt spid="_x0000_s108557"/>
                </a:ext>
                <a:ext uri="{FF2B5EF4-FFF2-40B4-BE49-F238E27FC236}">
                  <a16:creationId xmlns:a16="http://schemas.microsoft.com/office/drawing/2014/main" id="{00000000-0008-0000-1400-00000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200025</xdr:rowOff>
        </xdr:from>
        <xdr:to>
          <xdr:col>3</xdr:col>
          <xdr:colOff>781050</xdr:colOff>
          <xdr:row>30</xdr:row>
          <xdr:rowOff>409575</xdr:rowOff>
        </xdr:to>
        <xdr:sp macro="" textlink="">
          <xdr:nvSpPr>
            <xdr:cNvPr id="108558" name="Check Box 14" hidden="1">
              <a:extLst>
                <a:ext uri="{63B3BB69-23CF-44E3-9099-C40C66FF867C}">
                  <a14:compatExt spid="_x0000_s108558"/>
                </a:ext>
                <a:ext uri="{FF2B5EF4-FFF2-40B4-BE49-F238E27FC236}">
                  <a16:creationId xmlns:a16="http://schemas.microsoft.com/office/drawing/2014/main" id="{00000000-0008-0000-1400-00000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3</xdr:col>
          <xdr:colOff>781050</xdr:colOff>
          <xdr:row>31</xdr:row>
          <xdr:rowOff>209550</xdr:rowOff>
        </xdr:to>
        <xdr:sp macro="" textlink="">
          <xdr:nvSpPr>
            <xdr:cNvPr id="108559" name="Check Box 15" hidden="1">
              <a:extLst>
                <a:ext uri="{63B3BB69-23CF-44E3-9099-C40C66FF867C}">
                  <a14:compatExt spid="_x0000_s108559"/>
                </a:ext>
                <a:ext uri="{FF2B5EF4-FFF2-40B4-BE49-F238E27FC236}">
                  <a16:creationId xmlns:a16="http://schemas.microsoft.com/office/drawing/2014/main" id="{00000000-0008-0000-1400-00000F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200025</xdr:rowOff>
        </xdr:from>
        <xdr:to>
          <xdr:col>3</xdr:col>
          <xdr:colOff>781050</xdr:colOff>
          <xdr:row>31</xdr:row>
          <xdr:rowOff>409575</xdr:rowOff>
        </xdr:to>
        <xdr:sp macro="" textlink="">
          <xdr:nvSpPr>
            <xdr:cNvPr id="108560" name="Check Box 16" hidden="1">
              <a:extLst>
                <a:ext uri="{63B3BB69-23CF-44E3-9099-C40C66FF867C}">
                  <a14:compatExt spid="_x0000_s108560"/>
                </a:ext>
                <a:ext uri="{FF2B5EF4-FFF2-40B4-BE49-F238E27FC236}">
                  <a16:creationId xmlns:a16="http://schemas.microsoft.com/office/drawing/2014/main" id="{00000000-0008-0000-1400-000010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3</xdr:col>
          <xdr:colOff>781050</xdr:colOff>
          <xdr:row>32</xdr:row>
          <xdr:rowOff>209550</xdr:rowOff>
        </xdr:to>
        <xdr:sp macro="" textlink="">
          <xdr:nvSpPr>
            <xdr:cNvPr id="108561" name="Check Box 17" hidden="1">
              <a:extLst>
                <a:ext uri="{63B3BB69-23CF-44E3-9099-C40C66FF867C}">
                  <a14:compatExt spid="_x0000_s108561"/>
                </a:ext>
                <a:ext uri="{FF2B5EF4-FFF2-40B4-BE49-F238E27FC236}">
                  <a16:creationId xmlns:a16="http://schemas.microsoft.com/office/drawing/2014/main" id="{00000000-0008-0000-1400-00001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200025</xdr:rowOff>
        </xdr:from>
        <xdr:to>
          <xdr:col>3</xdr:col>
          <xdr:colOff>781050</xdr:colOff>
          <xdr:row>32</xdr:row>
          <xdr:rowOff>409575</xdr:rowOff>
        </xdr:to>
        <xdr:sp macro="" textlink="">
          <xdr:nvSpPr>
            <xdr:cNvPr id="108562" name="Check Box 18" hidden="1">
              <a:extLst>
                <a:ext uri="{63B3BB69-23CF-44E3-9099-C40C66FF867C}">
                  <a14:compatExt spid="_x0000_s108562"/>
                </a:ext>
                <a:ext uri="{FF2B5EF4-FFF2-40B4-BE49-F238E27FC236}">
                  <a16:creationId xmlns:a16="http://schemas.microsoft.com/office/drawing/2014/main" id="{00000000-0008-0000-1400-00001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3</xdr:col>
          <xdr:colOff>781050</xdr:colOff>
          <xdr:row>33</xdr:row>
          <xdr:rowOff>209550</xdr:rowOff>
        </xdr:to>
        <xdr:sp macro="" textlink="">
          <xdr:nvSpPr>
            <xdr:cNvPr id="108563" name="Check Box 19" hidden="1">
              <a:extLst>
                <a:ext uri="{63B3BB69-23CF-44E3-9099-C40C66FF867C}">
                  <a14:compatExt spid="_x0000_s108563"/>
                </a:ext>
                <a:ext uri="{FF2B5EF4-FFF2-40B4-BE49-F238E27FC236}">
                  <a16:creationId xmlns:a16="http://schemas.microsoft.com/office/drawing/2014/main" id="{00000000-0008-0000-1400-00001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200025</xdr:rowOff>
        </xdr:from>
        <xdr:to>
          <xdr:col>3</xdr:col>
          <xdr:colOff>781050</xdr:colOff>
          <xdr:row>33</xdr:row>
          <xdr:rowOff>409575</xdr:rowOff>
        </xdr:to>
        <xdr:sp macro="" textlink="">
          <xdr:nvSpPr>
            <xdr:cNvPr id="108564" name="Check Box 20" hidden="1">
              <a:extLst>
                <a:ext uri="{63B3BB69-23CF-44E3-9099-C40C66FF867C}">
                  <a14:compatExt spid="_x0000_s108564"/>
                </a:ext>
                <a:ext uri="{FF2B5EF4-FFF2-40B4-BE49-F238E27FC236}">
                  <a16:creationId xmlns:a16="http://schemas.microsoft.com/office/drawing/2014/main" id="{00000000-0008-0000-1400-00001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781050</xdr:colOff>
          <xdr:row>34</xdr:row>
          <xdr:rowOff>209550</xdr:rowOff>
        </xdr:to>
        <xdr:sp macro="" textlink="">
          <xdr:nvSpPr>
            <xdr:cNvPr id="108565" name="Check Box 21" hidden="1">
              <a:extLst>
                <a:ext uri="{63B3BB69-23CF-44E3-9099-C40C66FF867C}">
                  <a14:compatExt spid="_x0000_s108565"/>
                </a:ext>
                <a:ext uri="{FF2B5EF4-FFF2-40B4-BE49-F238E27FC236}">
                  <a16:creationId xmlns:a16="http://schemas.microsoft.com/office/drawing/2014/main" id="{00000000-0008-0000-1400-00001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200025</xdr:rowOff>
        </xdr:from>
        <xdr:to>
          <xdr:col>3</xdr:col>
          <xdr:colOff>781050</xdr:colOff>
          <xdr:row>34</xdr:row>
          <xdr:rowOff>409575</xdr:rowOff>
        </xdr:to>
        <xdr:sp macro="" textlink="">
          <xdr:nvSpPr>
            <xdr:cNvPr id="108566" name="Check Box 22" hidden="1">
              <a:extLst>
                <a:ext uri="{63B3BB69-23CF-44E3-9099-C40C66FF867C}">
                  <a14:compatExt spid="_x0000_s108566"/>
                </a:ext>
                <a:ext uri="{FF2B5EF4-FFF2-40B4-BE49-F238E27FC236}">
                  <a16:creationId xmlns:a16="http://schemas.microsoft.com/office/drawing/2014/main" id="{00000000-0008-0000-1400-00001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3</xdr:col>
          <xdr:colOff>781050</xdr:colOff>
          <xdr:row>35</xdr:row>
          <xdr:rowOff>209550</xdr:rowOff>
        </xdr:to>
        <xdr:sp macro="" textlink="">
          <xdr:nvSpPr>
            <xdr:cNvPr id="108567" name="Check Box 23" hidden="1">
              <a:extLst>
                <a:ext uri="{63B3BB69-23CF-44E3-9099-C40C66FF867C}">
                  <a14:compatExt spid="_x0000_s108567"/>
                </a:ext>
                <a:ext uri="{FF2B5EF4-FFF2-40B4-BE49-F238E27FC236}">
                  <a16:creationId xmlns:a16="http://schemas.microsoft.com/office/drawing/2014/main" id="{00000000-0008-0000-1400-000017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200025</xdr:rowOff>
        </xdr:from>
        <xdr:to>
          <xdr:col>3</xdr:col>
          <xdr:colOff>781050</xdr:colOff>
          <xdr:row>35</xdr:row>
          <xdr:rowOff>409575</xdr:rowOff>
        </xdr:to>
        <xdr:sp macro="" textlink="">
          <xdr:nvSpPr>
            <xdr:cNvPr id="108568" name="Check Box 24" hidden="1">
              <a:extLst>
                <a:ext uri="{63B3BB69-23CF-44E3-9099-C40C66FF867C}">
                  <a14:compatExt spid="_x0000_s108568"/>
                </a:ext>
                <a:ext uri="{FF2B5EF4-FFF2-40B4-BE49-F238E27FC236}">
                  <a16:creationId xmlns:a16="http://schemas.microsoft.com/office/drawing/2014/main" id="{00000000-0008-0000-1400-000018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3</xdr:col>
          <xdr:colOff>781050</xdr:colOff>
          <xdr:row>36</xdr:row>
          <xdr:rowOff>209550</xdr:rowOff>
        </xdr:to>
        <xdr:sp macro="" textlink="">
          <xdr:nvSpPr>
            <xdr:cNvPr id="108569" name="Check Box 25" hidden="1">
              <a:extLst>
                <a:ext uri="{63B3BB69-23CF-44E3-9099-C40C66FF867C}">
                  <a14:compatExt spid="_x0000_s108569"/>
                </a:ext>
                <a:ext uri="{FF2B5EF4-FFF2-40B4-BE49-F238E27FC236}">
                  <a16:creationId xmlns:a16="http://schemas.microsoft.com/office/drawing/2014/main" id="{00000000-0008-0000-1400-000019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200025</xdr:rowOff>
        </xdr:from>
        <xdr:to>
          <xdr:col>3</xdr:col>
          <xdr:colOff>781050</xdr:colOff>
          <xdr:row>36</xdr:row>
          <xdr:rowOff>409575</xdr:rowOff>
        </xdr:to>
        <xdr:sp macro="" textlink="">
          <xdr:nvSpPr>
            <xdr:cNvPr id="108570" name="Check Box 26" hidden="1">
              <a:extLst>
                <a:ext uri="{63B3BB69-23CF-44E3-9099-C40C66FF867C}">
                  <a14:compatExt spid="_x0000_s108570"/>
                </a:ext>
                <a:ext uri="{FF2B5EF4-FFF2-40B4-BE49-F238E27FC236}">
                  <a16:creationId xmlns:a16="http://schemas.microsoft.com/office/drawing/2014/main" id="{00000000-0008-0000-1400-00001A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3</xdr:col>
          <xdr:colOff>781050</xdr:colOff>
          <xdr:row>37</xdr:row>
          <xdr:rowOff>209550</xdr:rowOff>
        </xdr:to>
        <xdr:sp macro="" textlink="">
          <xdr:nvSpPr>
            <xdr:cNvPr id="108571" name="Check Box 27" hidden="1">
              <a:extLst>
                <a:ext uri="{63B3BB69-23CF-44E3-9099-C40C66FF867C}">
                  <a14:compatExt spid="_x0000_s108571"/>
                </a:ext>
                <a:ext uri="{FF2B5EF4-FFF2-40B4-BE49-F238E27FC236}">
                  <a16:creationId xmlns:a16="http://schemas.microsoft.com/office/drawing/2014/main" id="{00000000-0008-0000-1400-00001B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200025</xdr:rowOff>
        </xdr:from>
        <xdr:to>
          <xdr:col>3</xdr:col>
          <xdr:colOff>781050</xdr:colOff>
          <xdr:row>37</xdr:row>
          <xdr:rowOff>409575</xdr:rowOff>
        </xdr:to>
        <xdr:sp macro="" textlink="">
          <xdr:nvSpPr>
            <xdr:cNvPr id="108572" name="Check Box 28" hidden="1">
              <a:extLst>
                <a:ext uri="{63B3BB69-23CF-44E3-9099-C40C66FF867C}">
                  <a14:compatExt spid="_x0000_s108572"/>
                </a:ext>
                <a:ext uri="{FF2B5EF4-FFF2-40B4-BE49-F238E27FC236}">
                  <a16:creationId xmlns:a16="http://schemas.microsoft.com/office/drawing/2014/main" id="{00000000-0008-0000-1400-00001C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28575</xdr:rowOff>
        </xdr:from>
        <xdr:to>
          <xdr:col>3</xdr:col>
          <xdr:colOff>781050</xdr:colOff>
          <xdr:row>38</xdr:row>
          <xdr:rowOff>238125</xdr:rowOff>
        </xdr:to>
        <xdr:sp macro="" textlink="">
          <xdr:nvSpPr>
            <xdr:cNvPr id="108573" name="Check Box 29" hidden="1">
              <a:extLst>
                <a:ext uri="{63B3BB69-23CF-44E3-9099-C40C66FF867C}">
                  <a14:compatExt spid="_x0000_s108573"/>
                </a:ext>
                <a:ext uri="{FF2B5EF4-FFF2-40B4-BE49-F238E27FC236}">
                  <a16:creationId xmlns:a16="http://schemas.microsoft.com/office/drawing/2014/main" id="{00000000-0008-0000-1400-00001D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228600</xdr:rowOff>
        </xdr:from>
        <xdr:to>
          <xdr:col>3</xdr:col>
          <xdr:colOff>781050</xdr:colOff>
          <xdr:row>39</xdr:row>
          <xdr:rowOff>0</xdr:rowOff>
        </xdr:to>
        <xdr:sp macro="" textlink="">
          <xdr:nvSpPr>
            <xdr:cNvPr id="108574" name="Check Box 30" hidden="1">
              <a:extLst>
                <a:ext uri="{63B3BB69-23CF-44E3-9099-C40C66FF867C}">
                  <a14:compatExt spid="_x0000_s108574"/>
                </a:ext>
                <a:ext uri="{FF2B5EF4-FFF2-40B4-BE49-F238E27FC236}">
                  <a16:creationId xmlns:a16="http://schemas.microsoft.com/office/drawing/2014/main" id="{00000000-0008-0000-1400-00001E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19</xdr:row>
      <xdr:rowOff>19050</xdr:rowOff>
    </xdr:from>
    <xdr:to>
      <xdr:col>0</xdr:col>
      <xdr:colOff>790575</xdr:colOff>
      <xdr:row>19</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458075"/>
          <a:ext cx="771525" cy="723832"/>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828139</xdr:colOff>
      <xdr:row>7</xdr:row>
      <xdr:rowOff>19050</xdr:rowOff>
    </xdr:from>
    <xdr:to>
      <xdr:col>5</xdr:col>
      <xdr:colOff>1050798</xdr:colOff>
      <xdr:row>7</xdr:row>
      <xdr:rowOff>723900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828139" y="2409825"/>
          <a:ext cx="6699659" cy="704850"/>
          <a:chOff x="800100" y="19050"/>
          <a:chExt cx="6467475" cy="704850"/>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5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5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561975</xdr:colOff>
          <xdr:row>11</xdr:row>
          <xdr:rowOff>161925</xdr:rowOff>
        </xdr:from>
        <xdr:to>
          <xdr:col>0</xdr:col>
          <xdr:colOff>1485900</xdr:colOff>
          <xdr:row>11</xdr:row>
          <xdr:rowOff>295275</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15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11</xdr:row>
          <xdr:rowOff>361950</xdr:rowOff>
        </xdr:from>
        <xdr:to>
          <xdr:col>0</xdr:col>
          <xdr:colOff>1485900</xdr:colOff>
          <xdr:row>11</xdr:row>
          <xdr:rowOff>495300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15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7</xdr:row>
      <xdr:rowOff>19050</xdr:rowOff>
    </xdr:from>
    <xdr:to>
      <xdr:col>0</xdr:col>
      <xdr:colOff>790575</xdr:colOff>
      <xdr:row>7</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525" cy="723832"/>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806256</xdr:colOff>
      <xdr:row>6</xdr:row>
      <xdr:rowOff>19050</xdr:rowOff>
    </xdr:from>
    <xdr:to>
      <xdr:col>5</xdr:col>
      <xdr:colOff>1468053</xdr:colOff>
      <xdr:row>6</xdr:row>
      <xdr:rowOff>723900</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806256" y="2038350"/>
          <a:ext cx="6748272" cy="704850"/>
          <a:chOff x="800099" y="19050"/>
          <a:chExt cx="6695481" cy="704850"/>
        </a:xfrm>
      </xdr:grpSpPr>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800099" y="19050"/>
            <a:ext cx="6695481"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600-000005000000}"/>
              </a:ext>
            </a:extLst>
          </xdr:cNvPr>
          <xdr:cNvCxnSpPr/>
        </xdr:nvCxnSpPr>
        <xdr:spPr>
          <a:xfrm flipV="1">
            <a:off x="826294" y="35719"/>
            <a:ext cx="665488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600-000006000000}"/>
              </a:ext>
            </a:extLst>
          </xdr:cNvPr>
          <xdr:cNvCxnSpPr/>
        </xdr:nvCxnSpPr>
        <xdr:spPr>
          <a:xfrm flipV="1">
            <a:off x="902494" y="111921"/>
            <a:ext cx="6486814"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790575</xdr:colOff>
      <xdr:row>6</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38350"/>
          <a:ext cx="771525" cy="723832"/>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893495</xdr:colOff>
      <xdr:row>6</xdr:row>
      <xdr:rowOff>19050</xdr:rowOff>
    </xdr:from>
    <xdr:to>
      <xdr:col>5</xdr:col>
      <xdr:colOff>1028699</xdr:colOff>
      <xdr:row>6</xdr:row>
      <xdr:rowOff>723900</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893495" y="1971675"/>
          <a:ext cx="7240854" cy="704850"/>
          <a:chOff x="800100" y="19050"/>
          <a:chExt cx="6467475" cy="704850"/>
        </a:xfrm>
      </xdr:grpSpPr>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Physical Plant</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7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7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9525</xdr:colOff>
          <xdr:row>13</xdr:row>
          <xdr:rowOff>28575</xdr:rowOff>
        </xdr:from>
        <xdr:to>
          <xdr:col>3</xdr:col>
          <xdr:colOff>685800</xdr:colOff>
          <xdr:row>13</xdr:row>
          <xdr:rowOff>238125</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7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219075</xdr:rowOff>
        </xdr:from>
        <xdr:to>
          <xdr:col>3</xdr:col>
          <xdr:colOff>685800</xdr:colOff>
          <xdr:row>13</xdr:row>
          <xdr:rowOff>428625</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7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19050</xdr:rowOff>
        </xdr:from>
        <xdr:to>
          <xdr:col>3</xdr:col>
          <xdr:colOff>714375</xdr:colOff>
          <xdr:row>8</xdr:row>
          <xdr:rowOff>238125</xdr:rowOff>
        </xdr:to>
        <xdr:sp macro="" textlink="">
          <xdr:nvSpPr>
            <xdr:cNvPr id="87083" name="Check Box 43" hidden="1">
              <a:extLst>
                <a:ext uri="{63B3BB69-23CF-44E3-9099-C40C66FF867C}">
                  <a14:compatExt spid="_x0000_s87083"/>
                </a:ext>
                <a:ext uri="{FF2B5EF4-FFF2-40B4-BE49-F238E27FC236}">
                  <a16:creationId xmlns:a16="http://schemas.microsoft.com/office/drawing/2014/main" id="{00000000-0008-0000-1700-00002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209550</xdr:rowOff>
        </xdr:from>
        <xdr:to>
          <xdr:col>3</xdr:col>
          <xdr:colOff>714375</xdr:colOff>
          <xdr:row>8</xdr:row>
          <xdr:rowOff>428625</xdr:rowOff>
        </xdr:to>
        <xdr:sp macro="" textlink="">
          <xdr:nvSpPr>
            <xdr:cNvPr id="87084" name="Check Box 44" hidden="1">
              <a:extLst>
                <a:ext uri="{63B3BB69-23CF-44E3-9099-C40C66FF867C}">
                  <a14:compatExt spid="_x0000_s87084"/>
                </a:ext>
                <a:ext uri="{FF2B5EF4-FFF2-40B4-BE49-F238E27FC236}">
                  <a16:creationId xmlns:a16="http://schemas.microsoft.com/office/drawing/2014/main" id="{00000000-0008-0000-1700-00002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19050</xdr:rowOff>
        </xdr:from>
        <xdr:to>
          <xdr:col>5</xdr:col>
          <xdr:colOff>714375</xdr:colOff>
          <xdr:row>8</xdr:row>
          <xdr:rowOff>238125</xdr:rowOff>
        </xdr:to>
        <xdr:sp macro="" textlink="">
          <xdr:nvSpPr>
            <xdr:cNvPr id="87085" name="Check Box 45" hidden="1">
              <a:extLst>
                <a:ext uri="{63B3BB69-23CF-44E3-9099-C40C66FF867C}">
                  <a14:compatExt spid="_x0000_s87085"/>
                </a:ext>
                <a:ext uri="{FF2B5EF4-FFF2-40B4-BE49-F238E27FC236}">
                  <a16:creationId xmlns:a16="http://schemas.microsoft.com/office/drawing/2014/main" id="{00000000-0008-0000-1700-00002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209550</xdr:rowOff>
        </xdr:from>
        <xdr:to>
          <xdr:col>5</xdr:col>
          <xdr:colOff>714375</xdr:colOff>
          <xdr:row>8</xdr:row>
          <xdr:rowOff>428625</xdr:rowOff>
        </xdr:to>
        <xdr:sp macro="" textlink="">
          <xdr:nvSpPr>
            <xdr:cNvPr id="87086" name="Check Box 46" hidden="1">
              <a:extLst>
                <a:ext uri="{63B3BB69-23CF-44E3-9099-C40C66FF867C}">
                  <a14:compatExt spid="_x0000_s87086"/>
                </a:ext>
                <a:ext uri="{FF2B5EF4-FFF2-40B4-BE49-F238E27FC236}">
                  <a16:creationId xmlns:a16="http://schemas.microsoft.com/office/drawing/2014/main" id="{00000000-0008-0000-1700-00002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9525</xdr:rowOff>
        </xdr:from>
        <xdr:to>
          <xdr:col>5</xdr:col>
          <xdr:colOff>714375</xdr:colOff>
          <xdr:row>10</xdr:row>
          <xdr:rowOff>228600</xdr:rowOff>
        </xdr:to>
        <xdr:sp macro="" textlink="">
          <xdr:nvSpPr>
            <xdr:cNvPr id="87087" name="Check Box 47" hidden="1">
              <a:extLst>
                <a:ext uri="{63B3BB69-23CF-44E3-9099-C40C66FF867C}">
                  <a14:compatExt spid="_x0000_s87087"/>
                </a:ext>
                <a:ext uri="{FF2B5EF4-FFF2-40B4-BE49-F238E27FC236}">
                  <a16:creationId xmlns:a16="http://schemas.microsoft.com/office/drawing/2014/main" id="{00000000-0008-0000-1700-00002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200025</xdr:rowOff>
        </xdr:from>
        <xdr:to>
          <xdr:col>5</xdr:col>
          <xdr:colOff>714375</xdr:colOff>
          <xdr:row>10</xdr:row>
          <xdr:rowOff>419100</xdr:rowOff>
        </xdr:to>
        <xdr:sp macro="" textlink="">
          <xdr:nvSpPr>
            <xdr:cNvPr id="87088" name="Check Box 48" hidden="1">
              <a:extLst>
                <a:ext uri="{63B3BB69-23CF-44E3-9099-C40C66FF867C}">
                  <a14:compatExt spid="_x0000_s87088"/>
                </a:ext>
                <a:ext uri="{FF2B5EF4-FFF2-40B4-BE49-F238E27FC236}">
                  <a16:creationId xmlns:a16="http://schemas.microsoft.com/office/drawing/2014/main" id="{00000000-0008-0000-1700-00003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28575</xdr:rowOff>
        </xdr:from>
        <xdr:to>
          <xdr:col>3</xdr:col>
          <xdr:colOff>676275</xdr:colOff>
          <xdr:row>14</xdr:row>
          <xdr:rowOff>238125</xdr:rowOff>
        </xdr:to>
        <xdr:sp macro="" textlink="">
          <xdr:nvSpPr>
            <xdr:cNvPr id="87091" name="Check Box 51" hidden="1">
              <a:extLst>
                <a:ext uri="{63B3BB69-23CF-44E3-9099-C40C66FF867C}">
                  <a14:compatExt spid="_x0000_s87091"/>
                </a:ext>
                <a:ext uri="{FF2B5EF4-FFF2-40B4-BE49-F238E27FC236}">
                  <a16:creationId xmlns:a16="http://schemas.microsoft.com/office/drawing/2014/main" id="{00000000-0008-0000-1700-00003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219075</xdr:rowOff>
        </xdr:from>
        <xdr:to>
          <xdr:col>3</xdr:col>
          <xdr:colOff>676275</xdr:colOff>
          <xdr:row>14</xdr:row>
          <xdr:rowOff>428625</xdr:rowOff>
        </xdr:to>
        <xdr:sp macro="" textlink="">
          <xdr:nvSpPr>
            <xdr:cNvPr id="87092" name="Check Box 52" hidden="1">
              <a:extLst>
                <a:ext uri="{63B3BB69-23CF-44E3-9099-C40C66FF867C}">
                  <a14:compatExt spid="_x0000_s87092"/>
                </a:ext>
                <a:ext uri="{FF2B5EF4-FFF2-40B4-BE49-F238E27FC236}">
                  <a16:creationId xmlns:a16="http://schemas.microsoft.com/office/drawing/2014/main" id="{00000000-0008-0000-1700-00003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28575</xdr:rowOff>
        </xdr:from>
        <xdr:to>
          <xdr:col>3</xdr:col>
          <xdr:colOff>676275</xdr:colOff>
          <xdr:row>15</xdr:row>
          <xdr:rowOff>238125</xdr:rowOff>
        </xdr:to>
        <xdr:sp macro="" textlink="">
          <xdr:nvSpPr>
            <xdr:cNvPr id="87093" name="Check Box 53" hidden="1">
              <a:extLst>
                <a:ext uri="{63B3BB69-23CF-44E3-9099-C40C66FF867C}">
                  <a14:compatExt spid="_x0000_s87093"/>
                </a:ext>
                <a:ext uri="{FF2B5EF4-FFF2-40B4-BE49-F238E27FC236}">
                  <a16:creationId xmlns:a16="http://schemas.microsoft.com/office/drawing/2014/main" id="{00000000-0008-0000-1700-00003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219075</xdr:rowOff>
        </xdr:from>
        <xdr:to>
          <xdr:col>3</xdr:col>
          <xdr:colOff>676275</xdr:colOff>
          <xdr:row>15</xdr:row>
          <xdr:rowOff>428625</xdr:rowOff>
        </xdr:to>
        <xdr:sp macro="" textlink="">
          <xdr:nvSpPr>
            <xdr:cNvPr id="87094" name="Check Box 54" hidden="1">
              <a:extLst>
                <a:ext uri="{63B3BB69-23CF-44E3-9099-C40C66FF867C}">
                  <a14:compatExt spid="_x0000_s87094"/>
                </a:ext>
                <a:ext uri="{FF2B5EF4-FFF2-40B4-BE49-F238E27FC236}">
                  <a16:creationId xmlns:a16="http://schemas.microsoft.com/office/drawing/2014/main" id="{00000000-0008-0000-1700-00003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28575</xdr:rowOff>
        </xdr:from>
        <xdr:to>
          <xdr:col>3</xdr:col>
          <xdr:colOff>676275</xdr:colOff>
          <xdr:row>16</xdr:row>
          <xdr:rowOff>238125</xdr:rowOff>
        </xdr:to>
        <xdr:sp macro="" textlink="">
          <xdr:nvSpPr>
            <xdr:cNvPr id="87095" name="Check Box 55" hidden="1">
              <a:extLst>
                <a:ext uri="{63B3BB69-23CF-44E3-9099-C40C66FF867C}">
                  <a14:compatExt spid="_x0000_s87095"/>
                </a:ext>
                <a:ext uri="{FF2B5EF4-FFF2-40B4-BE49-F238E27FC236}">
                  <a16:creationId xmlns:a16="http://schemas.microsoft.com/office/drawing/2014/main" id="{00000000-0008-0000-1700-00003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219075</xdr:rowOff>
        </xdr:from>
        <xdr:to>
          <xdr:col>3</xdr:col>
          <xdr:colOff>676275</xdr:colOff>
          <xdr:row>16</xdr:row>
          <xdr:rowOff>428625</xdr:rowOff>
        </xdr:to>
        <xdr:sp macro="" textlink="">
          <xdr:nvSpPr>
            <xdr:cNvPr id="87096" name="Check Box 56" hidden="1">
              <a:extLst>
                <a:ext uri="{63B3BB69-23CF-44E3-9099-C40C66FF867C}">
                  <a14:compatExt spid="_x0000_s87096"/>
                </a:ext>
                <a:ext uri="{FF2B5EF4-FFF2-40B4-BE49-F238E27FC236}">
                  <a16:creationId xmlns:a16="http://schemas.microsoft.com/office/drawing/2014/main" id="{00000000-0008-0000-1700-00003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28575</xdr:rowOff>
        </xdr:from>
        <xdr:to>
          <xdr:col>3</xdr:col>
          <xdr:colOff>676275</xdr:colOff>
          <xdr:row>17</xdr:row>
          <xdr:rowOff>238125</xdr:rowOff>
        </xdr:to>
        <xdr:sp macro="" textlink="">
          <xdr:nvSpPr>
            <xdr:cNvPr id="87097" name="Check Box 57" hidden="1">
              <a:extLst>
                <a:ext uri="{63B3BB69-23CF-44E3-9099-C40C66FF867C}">
                  <a14:compatExt spid="_x0000_s87097"/>
                </a:ext>
                <a:ext uri="{FF2B5EF4-FFF2-40B4-BE49-F238E27FC236}">
                  <a16:creationId xmlns:a16="http://schemas.microsoft.com/office/drawing/2014/main" id="{00000000-0008-0000-1700-00003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219075</xdr:rowOff>
        </xdr:from>
        <xdr:to>
          <xdr:col>3</xdr:col>
          <xdr:colOff>676275</xdr:colOff>
          <xdr:row>17</xdr:row>
          <xdr:rowOff>428625</xdr:rowOff>
        </xdr:to>
        <xdr:sp macro="" textlink="">
          <xdr:nvSpPr>
            <xdr:cNvPr id="87098" name="Check Box 58" hidden="1">
              <a:extLst>
                <a:ext uri="{63B3BB69-23CF-44E3-9099-C40C66FF867C}">
                  <a14:compatExt spid="_x0000_s87098"/>
                </a:ext>
                <a:ext uri="{FF2B5EF4-FFF2-40B4-BE49-F238E27FC236}">
                  <a16:creationId xmlns:a16="http://schemas.microsoft.com/office/drawing/2014/main" id="{00000000-0008-0000-1700-00003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28575</xdr:rowOff>
        </xdr:from>
        <xdr:to>
          <xdr:col>3</xdr:col>
          <xdr:colOff>676275</xdr:colOff>
          <xdr:row>18</xdr:row>
          <xdr:rowOff>238125</xdr:rowOff>
        </xdr:to>
        <xdr:sp macro="" textlink="">
          <xdr:nvSpPr>
            <xdr:cNvPr id="87099" name="Check Box 59" hidden="1">
              <a:extLst>
                <a:ext uri="{63B3BB69-23CF-44E3-9099-C40C66FF867C}">
                  <a14:compatExt spid="_x0000_s87099"/>
                </a:ext>
                <a:ext uri="{FF2B5EF4-FFF2-40B4-BE49-F238E27FC236}">
                  <a16:creationId xmlns:a16="http://schemas.microsoft.com/office/drawing/2014/main" id="{00000000-0008-0000-1700-00003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219075</xdr:rowOff>
        </xdr:from>
        <xdr:to>
          <xdr:col>3</xdr:col>
          <xdr:colOff>676275</xdr:colOff>
          <xdr:row>18</xdr:row>
          <xdr:rowOff>428625</xdr:rowOff>
        </xdr:to>
        <xdr:sp macro="" textlink="">
          <xdr:nvSpPr>
            <xdr:cNvPr id="87100" name="Check Box 60" hidden="1">
              <a:extLst>
                <a:ext uri="{63B3BB69-23CF-44E3-9099-C40C66FF867C}">
                  <a14:compatExt spid="_x0000_s87100"/>
                </a:ext>
                <a:ext uri="{FF2B5EF4-FFF2-40B4-BE49-F238E27FC236}">
                  <a16:creationId xmlns:a16="http://schemas.microsoft.com/office/drawing/2014/main" id="{00000000-0008-0000-1700-00003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28575</xdr:rowOff>
        </xdr:from>
        <xdr:to>
          <xdr:col>3</xdr:col>
          <xdr:colOff>676275</xdr:colOff>
          <xdr:row>19</xdr:row>
          <xdr:rowOff>238125</xdr:rowOff>
        </xdr:to>
        <xdr:sp macro="" textlink="">
          <xdr:nvSpPr>
            <xdr:cNvPr id="87101" name="Check Box 61" hidden="1">
              <a:extLst>
                <a:ext uri="{63B3BB69-23CF-44E3-9099-C40C66FF867C}">
                  <a14:compatExt spid="_x0000_s87101"/>
                </a:ext>
                <a:ext uri="{FF2B5EF4-FFF2-40B4-BE49-F238E27FC236}">
                  <a16:creationId xmlns:a16="http://schemas.microsoft.com/office/drawing/2014/main" id="{00000000-0008-0000-1700-00003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219075</xdr:rowOff>
        </xdr:from>
        <xdr:to>
          <xdr:col>3</xdr:col>
          <xdr:colOff>676275</xdr:colOff>
          <xdr:row>19</xdr:row>
          <xdr:rowOff>428625</xdr:rowOff>
        </xdr:to>
        <xdr:sp macro="" textlink="">
          <xdr:nvSpPr>
            <xdr:cNvPr id="87102" name="Check Box 62" hidden="1">
              <a:extLst>
                <a:ext uri="{63B3BB69-23CF-44E3-9099-C40C66FF867C}">
                  <a14:compatExt spid="_x0000_s87102"/>
                </a:ext>
                <a:ext uri="{FF2B5EF4-FFF2-40B4-BE49-F238E27FC236}">
                  <a16:creationId xmlns:a16="http://schemas.microsoft.com/office/drawing/2014/main" id="{00000000-0008-0000-1700-00003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28575</xdr:rowOff>
        </xdr:from>
        <xdr:to>
          <xdr:col>3</xdr:col>
          <xdr:colOff>676275</xdr:colOff>
          <xdr:row>20</xdr:row>
          <xdr:rowOff>238125</xdr:rowOff>
        </xdr:to>
        <xdr:sp macro="" textlink="">
          <xdr:nvSpPr>
            <xdr:cNvPr id="87103" name="Check Box 63" hidden="1">
              <a:extLst>
                <a:ext uri="{63B3BB69-23CF-44E3-9099-C40C66FF867C}">
                  <a14:compatExt spid="_x0000_s87103"/>
                </a:ext>
                <a:ext uri="{FF2B5EF4-FFF2-40B4-BE49-F238E27FC236}">
                  <a16:creationId xmlns:a16="http://schemas.microsoft.com/office/drawing/2014/main" id="{00000000-0008-0000-1700-00003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219075</xdr:rowOff>
        </xdr:from>
        <xdr:to>
          <xdr:col>3</xdr:col>
          <xdr:colOff>676275</xdr:colOff>
          <xdr:row>20</xdr:row>
          <xdr:rowOff>428625</xdr:rowOff>
        </xdr:to>
        <xdr:sp macro="" textlink="">
          <xdr:nvSpPr>
            <xdr:cNvPr id="87104" name="Check Box 64" hidden="1">
              <a:extLst>
                <a:ext uri="{63B3BB69-23CF-44E3-9099-C40C66FF867C}">
                  <a14:compatExt spid="_x0000_s87104"/>
                </a:ext>
                <a:ext uri="{FF2B5EF4-FFF2-40B4-BE49-F238E27FC236}">
                  <a16:creationId xmlns:a16="http://schemas.microsoft.com/office/drawing/2014/main" id="{00000000-0008-0000-1700-00004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28575</xdr:rowOff>
        </xdr:from>
        <xdr:to>
          <xdr:col>3</xdr:col>
          <xdr:colOff>676275</xdr:colOff>
          <xdr:row>21</xdr:row>
          <xdr:rowOff>238125</xdr:rowOff>
        </xdr:to>
        <xdr:sp macro="" textlink="">
          <xdr:nvSpPr>
            <xdr:cNvPr id="87105" name="Check Box 65" hidden="1">
              <a:extLst>
                <a:ext uri="{63B3BB69-23CF-44E3-9099-C40C66FF867C}">
                  <a14:compatExt spid="_x0000_s87105"/>
                </a:ext>
                <a:ext uri="{FF2B5EF4-FFF2-40B4-BE49-F238E27FC236}">
                  <a16:creationId xmlns:a16="http://schemas.microsoft.com/office/drawing/2014/main" id="{00000000-0008-0000-1700-00004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219075</xdr:rowOff>
        </xdr:from>
        <xdr:to>
          <xdr:col>3</xdr:col>
          <xdr:colOff>676275</xdr:colOff>
          <xdr:row>21</xdr:row>
          <xdr:rowOff>428625</xdr:rowOff>
        </xdr:to>
        <xdr:sp macro="" textlink="">
          <xdr:nvSpPr>
            <xdr:cNvPr id="87106" name="Check Box 66" hidden="1">
              <a:extLst>
                <a:ext uri="{63B3BB69-23CF-44E3-9099-C40C66FF867C}">
                  <a14:compatExt spid="_x0000_s87106"/>
                </a:ext>
                <a:ext uri="{FF2B5EF4-FFF2-40B4-BE49-F238E27FC236}">
                  <a16:creationId xmlns:a16="http://schemas.microsoft.com/office/drawing/2014/main" id="{00000000-0008-0000-1700-00004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28575</xdr:rowOff>
        </xdr:from>
        <xdr:to>
          <xdr:col>3</xdr:col>
          <xdr:colOff>676275</xdr:colOff>
          <xdr:row>22</xdr:row>
          <xdr:rowOff>238125</xdr:rowOff>
        </xdr:to>
        <xdr:sp macro="" textlink="">
          <xdr:nvSpPr>
            <xdr:cNvPr id="87107" name="Check Box 67" hidden="1">
              <a:extLst>
                <a:ext uri="{63B3BB69-23CF-44E3-9099-C40C66FF867C}">
                  <a14:compatExt spid="_x0000_s87107"/>
                </a:ext>
                <a:ext uri="{FF2B5EF4-FFF2-40B4-BE49-F238E27FC236}">
                  <a16:creationId xmlns:a16="http://schemas.microsoft.com/office/drawing/2014/main" id="{00000000-0008-0000-1700-00004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219075</xdr:rowOff>
        </xdr:from>
        <xdr:to>
          <xdr:col>3</xdr:col>
          <xdr:colOff>676275</xdr:colOff>
          <xdr:row>22</xdr:row>
          <xdr:rowOff>428625</xdr:rowOff>
        </xdr:to>
        <xdr:sp macro="" textlink="">
          <xdr:nvSpPr>
            <xdr:cNvPr id="87108" name="Check Box 68" hidden="1">
              <a:extLst>
                <a:ext uri="{63B3BB69-23CF-44E3-9099-C40C66FF867C}">
                  <a14:compatExt spid="_x0000_s87108"/>
                </a:ext>
                <a:ext uri="{FF2B5EF4-FFF2-40B4-BE49-F238E27FC236}">
                  <a16:creationId xmlns:a16="http://schemas.microsoft.com/office/drawing/2014/main" id="{00000000-0008-0000-1700-00004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28575</xdr:rowOff>
        </xdr:from>
        <xdr:to>
          <xdr:col>3</xdr:col>
          <xdr:colOff>676275</xdr:colOff>
          <xdr:row>23</xdr:row>
          <xdr:rowOff>238125</xdr:rowOff>
        </xdr:to>
        <xdr:sp macro="" textlink="">
          <xdr:nvSpPr>
            <xdr:cNvPr id="87109" name="Check Box 69" hidden="1">
              <a:extLst>
                <a:ext uri="{63B3BB69-23CF-44E3-9099-C40C66FF867C}">
                  <a14:compatExt spid="_x0000_s87109"/>
                </a:ext>
                <a:ext uri="{FF2B5EF4-FFF2-40B4-BE49-F238E27FC236}">
                  <a16:creationId xmlns:a16="http://schemas.microsoft.com/office/drawing/2014/main" id="{00000000-0008-0000-1700-00004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219075</xdr:rowOff>
        </xdr:from>
        <xdr:to>
          <xdr:col>3</xdr:col>
          <xdr:colOff>676275</xdr:colOff>
          <xdr:row>23</xdr:row>
          <xdr:rowOff>428625</xdr:rowOff>
        </xdr:to>
        <xdr:sp macro="" textlink="">
          <xdr:nvSpPr>
            <xdr:cNvPr id="87110" name="Check Box 70" hidden="1">
              <a:extLst>
                <a:ext uri="{63B3BB69-23CF-44E3-9099-C40C66FF867C}">
                  <a14:compatExt spid="_x0000_s87110"/>
                </a:ext>
                <a:ext uri="{FF2B5EF4-FFF2-40B4-BE49-F238E27FC236}">
                  <a16:creationId xmlns:a16="http://schemas.microsoft.com/office/drawing/2014/main" id="{00000000-0008-0000-1700-00004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28575</xdr:rowOff>
        </xdr:from>
        <xdr:to>
          <xdr:col>3</xdr:col>
          <xdr:colOff>676275</xdr:colOff>
          <xdr:row>24</xdr:row>
          <xdr:rowOff>238125</xdr:rowOff>
        </xdr:to>
        <xdr:sp macro="" textlink="">
          <xdr:nvSpPr>
            <xdr:cNvPr id="87111" name="Check Box 71" hidden="1">
              <a:extLst>
                <a:ext uri="{63B3BB69-23CF-44E3-9099-C40C66FF867C}">
                  <a14:compatExt spid="_x0000_s87111"/>
                </a:ext>
                <a:ext uri="{FF2B5EF4-FFF2-40B4-BE49-F238E27FC236}">
                  <a16:creationId xmlns:a16="http://schemas.microsoft.com/office/drawing/2014/main" id="{00000000-0008-0000-1700-00004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676275</xdr:colOff>
          <xdr:row>24</xdr:row>
          <xdr:rowOff>428625</xdr:rowOff>
        </xdr:to>
        <xdr:sp macro="" textlink="">
          <xdr:nvSpPr>
            <xdr:cNvPr id="87112" name="Check Box 72" hidden="1">
              <a:extLst>
                <a:ext uri="{63B3BB69-23CF-44E3-9099-C40C66FF867C}">
                  <a14:compatExt spid="_x0000_s87112"/>
                </a:ext>
                <a:ext uri="{FF2B5EF4-FFF2-40B4-BE49-F238E27FC236}">
                  <a16:creationId xmlns:a16="http://schemas.microsoft.com/office/drawing/2014/main" id="{00000000-0008-0000-1700-00004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28575</xdr:rowOff>
        </xdr:from>
        <xdr:to>
          <xdr:col>3</xdr:col>
          <xdr:colOff>676275</xdr:colOff>
          <xdr:row>25</xdr:row>
          <xdr:rowOff>238125</xdr:rowOff>
        </xdr:to>
        <xdr:sp macro="" textlink="">
          <xdr:nvSpPr>
            <xdr:cNvPr id="87113" name="Check Box 73" hidden="1">
              <a:extLst>
                <a:ext uri="{63B3BB69-23CF-44E3-9099-C40C66FF867C}">
                  <a14:compatExt spid="_x0000_s87113"/>
                </a:ext>
                <a:ext uri="{FF2B5EF4-FFF2-40B4-BE49-F238E27FC236}">
                  <a16:creationId xmlns:a16="http://schemas.microsoft.com/office/drawing/2014/main" id="{00000000-0008-0000-1700-00004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676275</xdr:colOff>
          <xdr:row>25</xdr:row>
          <xdr:rowOff>428625</xdr:rowOff>
        </xdr:to>
        <xdr:sp macro="" textlink="">
          <xdr:nvSpPr>
            <xdr:cNvPr id="87114" name="Check Box 74" hidden="1">
              <a:extLst>
                <a:ext uri="{63B3BB69-23CF-44E3-9099-C40C66FF867C}">
                  <a14:compatExt spid="_x0000_s87114"/>
                </a:ext>
                <a:ext uri="{FF2B5EF4-FFF2-40B4-BE49-F238E27FC236}">
                  <a16:creationId xmlns:a16="http://schemas.microsoft.com/office/drawing/2014/main" id="{00000000-0008-0000-1700-00004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28575</xdr:rowOff>
        </xdr:from>
        <xdr:to>
          <xdr:col>3</xdr:col>
          <xdr:colOff>676275</xdr:colOff>
          <xdr:row>27</xdr:row>
          <xdr:rowOff>238125</xdr:rowOff>
        </xdr:to>
        <xdr:sp macro="" textlink="">
          <xdr:nvSpPr>
            <xdr:cNvPr id="87115" name="Check Box 75" hidden="1">
              <a:extLst>
                <a:ext uri="{63B3BB69-23CF-44E3-9099-C40C66FF867C}">
                  <a14:compatExt spid="_x0000_s87115"/>
                </a:ext>
                <a:ext uri="{FF2B5EF4-FFF2-40B4-BE49-F238E27FC236}">
                  <a16:creationId xmlns:a16="http://schemas.microsoft.com/office/drawing/2014/main" id="{00000000-0008-0000-1700-00004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219075</xdr:rowOff>
        </xdr:from>
        <xdr:to>
          <xdr:col>3</xdr:col>
          <xdr:colOff>676275</xdr:colOff>
          <xdr:row>27</xdr:row>
          <xdr:rowOff>428625</xdr:rowOff>
        </xdr:to>
        <xdr:sp macro="" textlink="">
          <xdr:nvSpPr>
            <xdr:cNvPr id="87116" name="Check Box 76" hidden="1">
              <a:extLst>
                <a:ext uri="{63B3BB69-23CF-44E3-9099-C40C66FF867C}">
                  <a14:compatExt spid="_x0000_s87116"/>
                </a:ext>
                <a:ext uri="{FF2B5EF4-FFF2-40B4-BE49-F238E27FC236}">
                  <a16:creationId xmlns:a16="http://schemas.microsoft.com/office/drawing/2014/main" id="{00000000-0008-0000-1700-00004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28575</xdr:rowOff>
        </xdr:from>
        <xdr:to>
          <xdr:col>3</xdr:col>
          <xdr:colOff>676275</xdr:colOff>
          <xdr:row>28</xdr:row>
          <xdr:rowOff>238125</xdr:rowOff>
        </xdr:to>
        <xdr:sp macro="" textlink="">
          <xdr:nvSpPr>
            <xdr:cNvPr id="87117" name="Check Box 77" hidden="1">
              <a:extLst>
                <a:ext uri="{63B3BB69-23CF-44E3-9099-C40C66FF867C}">
                  <a14:compatExt spid="_x0000_s87117"/>
                </a:ext>
                <a:ext uri="{FF2B5EF4-FFF2-40B4-BE49-F238E27FC236}">
                  <a16:creationId xmlns:a16="http://schemas.microsoft.com/office/drawing/2014/main" id="{00000000-0008-0000-1700-00004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219075</xdr:rowOff>
        </xdr:from>
        <xdr:to>
          <xdr:col>3</xdr:col>
          <xdr:colOff>676275</xdr:colOff>
          <xdr:row>28</xdr:row>
          <xdr:rowOff>428625</xdr:rowOff>
        </xdr:to>
        <xdr:sp macro="" textlink="">
          <xdr:nvSpPr>
            <xdr:cNvPr id="87118" name="Check Box 78" hidden="1">
              <a:extLst>
                <a:ext uri="{63B3BB69-23CF-44E3-9099-C40C66FF867C}">
                  <a14:compatExt spid="_x0000_s87118"/>
                </a:ext>
                <a:ext uri="{FF2B5EF4-FFF2-40B4-BE49-F238E27FC236}">
                  <a16:creationId xmlns:a16="http://schemas.microsoft.com/office/drawing/2014/main" id="{00000000-0008-0000-1700-00004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28575</xdr:rowOff>
        </xdr:from>
        <xdr:to>
          <xdr:col>3</xdr:col>
          <xdr:colOff>676275</xdr:colOff>
          <xdr:row>29</xdr:row>
          <xdr:rowOff>238125</xdr:rowOff>
        </xdr:to>
        <xdr:sp macro="" textlink="">
          <xdr:nvSpPr>
            <xdr:cNvPr id="87119" name="Check Box 79" hidden="1">
              <a:extLst>
                <a:ext uri="{63B3BB69-23CF-44E3-9099-C40C66FF867C}">
                  <a14:compatExt spid="_x0000_s87119"/>
                </a:ext>
                <a:ext uri="{FF2B5EF4-FFF2-40B4-BE49-F238E27FC236}">
                  <a16:creationId xmlns:a16="http://schemas.microsoft.com/office/drawing/2014/main" id="{00000000-0008-0000-1700-00004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219075</xdr:rowOff>
        </xdr:from>
        <xdr:to>
          <xdr:col>3</xdr:col>
          <xdr:colOff>676275</xdr:colOff>
          <xdr:row>29</xdr:row>
          <xdr:rowOff>428625</xdr:rowOff>
        </xdr:to>
        <xdr:sp macro="" textlink="">
          <xdr:nvSpPr>
            <xdr:cNvPr id="87120" name="Check Box 80" hidden="1">
              <a:extLst>
                <a:ext uri="{63B3BB69-23CF-44E3-9099-C40C66FF867C}">
                  <a14:compatExt spid="_x0000_s87120"/>
                </a:ext>
                <a:ext uri="{FF2B5EF4-FFF2-40B4-BE49-F238E27FC236}">
                  <a16:creationId xmlns:a16="http://schemas.microsoft.com/office/drawing/2014/main" id="{00000000-0008-0000-1700-00005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28575</xdr:rowOff>
        </xdr:from>
        <xdr:to>
          <xdr:col>3</xdr:col>
          <xdr:colOff>676275</xdr:colOff>
          <xdr:row>30</xdr:row>
          <xdr:rowOff>238125</xdr:rowOff>
        </xdr:to>
        <xdr:sp macro="" textlink="">
          <xdr:nvSpPr>
            <xdr:cNvPr id="87121" name="Check Box 81" hidden="1">
              <a:extLst>
                <a:ext uri="{63B3BB69-23CF-44E3-9099-C40C66FF867C}">
                  <a14:compatExt spid="_x0000_s87121"/>
                </a:ext>
                <a:ext uri="{FF2B5EF4-FFF2-40B4-BE49-F238E27FC236}">
                  <a16:creationId xmlns:a16="http://schemas.microsoft.com/office/drawing/2014/main" id="{00000000-0008-0000-1700-00005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219075</xdr:rowOff>
        </xdr:from>
        <xdr:to>
          <xdr:col>3</xdr:col>
          <xdr:colOff>676275</xdr:colOff>
          <xdr:row>30</xdr:row>
          <xdr:rowOff>428625</xdr:rowOff>
        </xdr:to>
        <xdr:sp macro="" textlink="">
          <xdr:nvSpPr>
            <xdr:cNvPr id="87122" name="Check Box 82" hidden="1">
              <a:extLst>
                <a:ext uri="{63B3BB69-23CF-44E3-9099-C40C66FF867C}">
                  <a14:compatExt spid="_x0000_s87122"/>
                </a:ext>
                <a:ext uri="{FF2B5EF4-FFF2-40B4-BE49-F238E27FC236}">
                  <a16:creationId xmlns:a16="http://schemas.microsoft.com/office/drawing/2014/main" id="{00000000-0008-0000-1700-00005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28575</xdr:rowOff>
        </xdr:from>
        <xdr:to>
          <xdr:col>3</xdr:col>
          <xdr:colOff>676275</xdr:colOff>
          <xdr:row>31</xdr:row>
          <xdr:rowOff>238125</xdr:rowOff>
        </xdr:to>
        <xdr:sp macro="" textlink="">
          <xdr:nvSpPr>
            <xdr:cNvPr id="87125" name="Check Box 85" hidden="1">
              <a:extLst>
                <a:ext uri="{63B3BB69-23CF-44E3-9099-C40C66FF867C}">
                  <a14:compatExt spid="_x0000_s87125"/>
                </a:ext>
                <a:ext uri="{FF2B5EF4-FFF2-40B4-BE49-F238E27FC236}">
                  <a16:creationId xmlns:a16="http://schemas.microsoft.com/office/drawing/2014/main" id="{00000000-0008-0000-1700-00005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219075</xdr:rowOff>
        </xdr:from>
        <xdr:to>
          <xdr:col>3</xdr:col>
          <xdr:colOff>676275</xdr:colOff>
          <xdr:row>31</xdr:row>
          <xdr:rowOff>428625</xdr:rowOff>
        </xdr:to>
        <xdr:sp macro="" textlink="">
          <xdr:nvSpPr>
            <xdr:cNvPr id="87126" name="Check Box 86" hidden="1">
              <a:extLst>
                <a:ext uri="{63B3BB69-23CF-44E3-9099-C40C66FF867C}">
                  <a14:compatExt spid="_x0000_s87126"/>
                </a:ext>
                <a:ext uri="{FF2B5EF4-FFF2-40B4-BE49-F238E27FC236}">
                  <a16:creationId xmlns:a16="http://schemas.microsoft.com/office/drawing/2014/main" id="{00000000-0008-0000-1700-00005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28575</xdr:rowOff>
        </xdr:from>
        <xdr:to>
          <xdr:col>3</xdr:col>
          <xdr:colOff>676275</xdr:colOff>
          <xdr:row>32</xdr:row>
          <xdr:rowOff>238125</xdr:rowOff>
        </xdr:to>
        <xdr:sp macro="" textlink="">
          <xdr:nvSpPr>
            <xdr:cNvPr id="87127" name="Check Box 87" hidden="1">
              <a:extLst>
                <a:ext uri="{63B3BB69-23CF-44E3-9099-C40C66FF867C}">
                  <a14:compatExt spid="_x0000_s87127"/>
                </a:ext>
                <a:ext uri="{FF2B5EF4-FFF2-40B4-BE49-F238E27FC236}">
                  <a16:creationId xmlns:a16="http://schemas.microsoft.com/office/drawing/2014/main" id="{00000000-0008-0000-1700-00005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219075</xdr:rowOff>
        </xdr:from>
        <xdr:to>
          <xdr:col>3</xdr:col>
          <xdr:colOff>676275</xdr:colOff>
          <xdr:row>32</xdr:row>
          <xdr:rowOff>428625</xdr:rowOff>
        </xdr:to>
        <xdr:sp macro="" textlink="">
          <xdr:nvSpPr>
            <xdr:cNvPr id="87128" name="Check Box 88" hidden="1">
              <a:extLst>
                <a:ext uri="{63B3BB69-23CF-44E3-9099-C40C66FF867C}">
                  <a14:compatExt spid="_x0000_s87128"/>
                </a:ext>
                <a:ext uri="{FF2B5EF4-FFF2-40B4-BE49-F238E27FC236}">
                  <a16:creationId xmlns:a16="http://schemas.microsoft.com/office/drawing/2014/main" id="{00000000-0008-0000-1700-00005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28575</xdr:rowOff>
        </xdr:from>
        <xdr:to>
          <xdr:col>3</xdr:col>
          <xdr:colOff>676275</xdr:colOff>
          <xdr:row>33</xdr:row>
          <xdr:rowOff>238125</xdr:rowOff>
        </xdr:to>
        <xdr:sp macro="" textlink="">
          <xdr:nvSpPr>
            <xdr:cNvPr id="87129" name="Check Box 89" hidden="1">
              <a:extLst>
                <a:ext uri="{63B3BB69-23CF-44E3-9099-C40C66FF867C}">
                  <a14:compatExt spid="_x0000_s87129"/>
                </a:ext>
                <a:ext uri="{FF2B5EF4-FFF2-40B4-BE49-F238E27FC236}">
                  <a16:creationId xmlns:a16="http://schemas.microsoft.com/office/drawing/2014/main" id="{00000000-0008-0000-1700-00005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219075</xdr:rowOff>
        </xdr:from>
        <xdr:to>
          <xdr:col>3</xdr:col>
          <xdr:colOff>676275</xdr:colOff>
          <xdr:row>33</xdr:row>
          <xdr:rowOff>428625</xdr:rowOff>
        </xdr:to>
        <xdr:sp macro="" textlink="">
          <xdr:nvSpPr>
            <xdr:cNvPr id="87130" name="Check Box 90" hidden="1">
              <a:extLst>
                <a:ext uri="{63B3BB69-23CF-44E3-9099-C40C66FF867C}">
                  <a14:compatExt spid="_x0000_s87130"/>
                </a:ext>
                <a:ext uri="{FF2B5EF4-FFF2-40B4-BE49-F238E27FC236}">
                  <a16:creationId xmlns:a16="http://schemas.microsoft.com/office/drawing/2014/main" id="{00000000-0008-0000-1700-00005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28575</xdr:rowOff>
        </xdr:from>
        <xdr:to>
          <xdr:col>3</xdr:col>
          <xdr:colOff>676275</xdr:colOff>
          <xdr:row>26</xdr:row>
          <xdr:rowOff>238125</xdr:rowOff>
        </xdr:to>
        <xdr:sp macro="" textlink="">
          <xdr:nvSpPr>
            <xdr:cNvPr id="87137" name="Check Box 97" hidden="1">
              <a:extLst>
                <a:ext uri="{63B3BB69-23CF-44E3-9099-C40C66FF867C}">
                  <a14:compatExt spid="_x0000_s87137"/>
                </a:ext>
                <a:ext uri="{FF2B5EF4-FFF2-40B4-BE49-F238E27FC236}">
                  <a16:creationId xmlns:a16="http://schemas.microsoft.com/office/drawing/2014/main" id="{00000000-0008-0000-1700-00006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219075</xdr:rowOff>
        </xdr:from>
        <xdr:to>
          <xdr:col>3</xdr:col>
          <xdr:colOff>676275</xdr:colOff>
          <xdr:row>26</xdr:row>
          <xdr:rowOff>428625</xdr:rowOff>
        </xdr:to>
        <xdr:sp macro="" textlink="">
          <xdr:nvSpPr>
            <xdr:cNvPr id="87138" name="Check Box 98" hidden="1">
              <a:extLst>
                <a:ext uri="{63B3BB69-23CF-44E3-9099-C40C66FF867C}">
                  <a14:compatExt spid="_x0000_s87138"/>
                </a:ext>
                <a:ext uri="{FF2B5EF4-FFF2-40B4-BE49-F238E27FC236}">
                  <a16:creationId xmlns:a16="http://schemas.microsoft.com/office/drawing/2014/main" id="{00000000-0008-0000-1700-00006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76200</xdr:colOff>
      <xdr:row>6</xdr:row>
      <xdr:rowOff>19050</xdr:rowOff>
    </xdr:from>
    <xdr:to>
      <xdr:col>0</xdr:col>
      <xdr:colOff>847725</xdr:colOff>
      <xdr:row>6</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76200" y="1971675"/>
          <a:ext cx="771525" cy="72383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807612</xdr:colOff>
      <xdr:row>0</xdr:row>
      <xdr:rowOff>19050</xdr:rowOff>
    </xdr:from>
    <xdr:to>
      <xdr:col>7</xdr:col>
      <xdr:colOff>3048</xdr:colOff>
      <xdr:row>0</xdr:row>
      <xdr:rowOff>723900</xdr:rowOff>
    </xdr:to>
    <xdr:grpSp>
      <xdr:nvGrpSpPr>
        <xdr:cNvPr id="26" name="Group 25">
          <a:extLst>
            <a:ext uri="{FF2B5EF4-FFF2-40B4-BE49-F238E27FC236}">
              <a16:creationId xmlns:a16="http://schemas.microsoft.com/office/drawing/2014/main" id="{00000000-0008-0000-0200-00001A000000}"/>
            </a:ext>
          </a:extLst>
        </xdr:cNvPr>
        <xdr:cNvGrpSpPr/>
      </xdr:nvGrpSpPr>
      <xdr:grpSpPr>
        <a:xfrm>
          <a:off x="807612" y="19050"/>
          <a:ext cx="6529686" cy="704850"/>
          <a:chOff x="800100" y="19050"/>
          <a:chExt cx="6467475" cy="704850"/>
        </a:xfrm>
      </xdr:grpSpPr>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7" name="Elbow Connector 6">
            <a:extLst>
              <a:ext uri="{FF2B5EF4-FFF2-40B4-BE49-F238E27FC236}">
                <a16:creationId xmlns:a16="http://schemas.microsoft.com/office/drawing/2014/main" id="{00000000-0008-0000-0200-000007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2" name="Elbow Connector 11">
            <a:extLst>
              <a:ext uri="{FF2B5EF4-FFF2-40B4-BE49-F238E27FC236}">
                <a16:creationId xmlns:a16="http://schemas.microsoft.com/office/drawing/2014/main" id="{00000000-0008-0000-0200-00000C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xdr:col>
          <xdr:colOff>19050</xdr:colOff>
          <xdr:row>3</xdr:row>
          <xdr:rowOff>95250</xdr:rowOff>
        </xdr:from>
        <xdr:to>
          <xdr:col>2</xdr:col>
          <xdr:colOff>247650</xdr:colOff>
          <xdr:row>3</xdr:row>
          <xdr:rowOff>314325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2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xdr:row>
          <xdr:rowOff>104775</xdr:rowOff>
        </xdr:from>
        <xdr:to>
          <xdr:col>3</xdr:col>
          <xdr:colOff>238125</xdr:colOff>
          <xdr:row>3</xdr:row>
          <xdr:rowOff>314325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2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xdr:row>
          <xdr:rowOff>9525</xdr:rowOff>
        </xdr:from>
        <xdr:to>
          <xdr:col>1</xdr:col>
          <xdr:colOff>800100</xdr:colOff>
          <xdr:row>5</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2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xdr:row>
          <xdr:rowOff>9525</xdr:rowOff>
        </xdr:from>
        <xdr:to>
          <xdr:col>1</xdr:col>
          <xdr:colOff>800100</xdr:colOff>
          <xdr:row>6</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9525</xdr:rowOff>
        </xdr:from>
        <xdr:to>
          <xdr:col>2</xdr:col>
          <xdr:colOff>952500</xdr:colOff>
          <xdr:row>5</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2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9525</xdr:rowOff>
        </xdr:from>
        <xdr:to>
          <xdr:col>2</xdr:col>
          <xdr:colOff>952500</xdr:colOff>
          <xdr:row>6</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2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xdr:row>
          <xdr:rowOff>9525</xdr:rowOff>
        </xdr:from>
        <xdr:to>
          <xdr:col>3</xdr:col>
          <xdr:colOff>885825</xdr:colOff>
          <xdr:row>5</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2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9525</xdr:rowOff>
        </xdr:from>
        <xdr:to>
          <xdr:col>3</xdr:col>
          <xdr:colOff>885825</xdr:colOff>
          <xdr:row>6</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2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9525</xdr:rowOff>
        </xdr:from>
        <xdr:to>
          <xdr:col>4</xdr:col>
          <xdr:colOff>885825</xdr:colOff>
          <xdr:row>5</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2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9525</xdr:rowOff>
        </xdr:from>
        <xdr:to>
          <xdr:col>4</xdr:col>
          <xdr:colOff>885825</xdr:colOff>
          <xdr:row>6</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2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xdr:row>
          <xdr:rowOff>9525</xdr:rowOff>
        </xdr:from>
        <xdr:to>
          <xdr:col>5</xdr:col>
          <xdr:colOff>895350</xdr:colOff>
          <xdr:row>5</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2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9525</xdr:rowOff>
        </xdr:from>
        <xdr:to>
          <xdr:col>5</xdr:col>
          <xdr:colOff>895350</xdr:colOff>
          <xdr:row>6</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2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xdr:row>
          <xdr:rowOff>9525</xdr:rowOff>
        </xdr:from>
        <xdr:to>
          <xdr:col>6</xdr:col>
          <xdr:colOff>885825</xdr:colOff>
          <xdr:row>5</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2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xdr:row>
          <xdr:rowOff>9525</xdr:rowOff>
        </xdr:from>
        <xdr:to>
          <xdr:col>6</xdr:col>
          <xdr:colOff>885825</xdr:colOff>
          <xdr:row>6</xdr:row>
          <xdr:rowOff>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2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9525</xdr:rowOff>
        </xdr:from>
        <xdr:to>
          <xdr:col>3</xdr:col>
          <xdr:colOff>790575</xdr:colOff>
          <xdr:row>10</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2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180975</xdr:rowOff>
        </xdr:from>
        <xdr:to>
          <xdr:col>3</xdr:col>
          <xdr:colOff>790575</xdr:colOff>
          <xdr:row>11</xdr:row>
          <xdr:rowOff>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2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29</xdr:row>
          <xdr:rowOff>0</xdr:rowOff>
        </xdr:from>
        <xdr:to>
          <xdr:col>0</xdr:col>
          <xdr:colOff>257175</xdr:colOff>
          <xdr:row>29</xdr:row>
          <xdr:rowOff>238125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2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0</xdr:col>
          <xdr:colOff>257175</xdr:colOff>
          <xdr:row>30</xdr:row>
          <xdr:rowOff>238125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2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0</xdr:col>
          <xdr:colOff>257175</xdr:colOff>
          <xdr:row>31</xdr:row>
          <xdr:rowOff>238125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2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0</xdr:col>
          <xdr:colOff>257175</xdr:colOff>
          <xdr:row>32</xdr:row>
          <xdr:rowOff>238125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2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0</xdr:col>
          <xdr:colOff>257175</xdr:colOff>
          <xdr:row>33</xdr:row>
          <xdr:rowOff>238125</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2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34</xdr:row>
          <xdr:rowOff>0</xdr:rowOff>
        </xdr:from>
        <xdr:to>
          <xdr:col>0</xdr:col>
          <xdr:colOff>257175</xdr:colOff>
          <xdr:row>34</xdr:row>
          <xdr:rowOff>238125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2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257175</xdr:colOff>
          <xdr:row>37</xdr:row>
          <xdr:rowOff>238125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2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0</xdr:col>
          <xdr:colOff>257175</xdr:colOff>
          <xdr:row>38</xdr:row>
          <xdr:rowOff>238125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2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0</xdr:col>
          <xdr:colOff>257175</xdr:colOff>
          <xdr:row>39</xdr:row>
          <xdr:rowOff>238125</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2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0</xdr:col>
          <xdr:colOff>257175</xdr:colOff>
          <xdr:row>40</xdr:row>
          <xdr:rowOff>238125</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2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41</xdr:row>
          <xdr:rowOff>0</xdr:rowOff>
        </xdr:from>
        <xdr:to>
          <xdr:col>0</xdr:col>
          <xdr:colOff>257175</xdr:colOff>
          <xdr:row>41</xdr:row>
          <xdr:rowOff>238125</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2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0</xdr:rowOff>
        </xdr:from>
        <xdr:to>
          <xdr:col>0</xdr:col>
          <xdr:colOff>257175</xdr:colOff>
          <xdr:row>42</xdr:row>
          <xdr:rowOff>238125</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2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4</xdr:col>
          <xdr:colOff>781050</xdr:colOff>
          <xdr:row>18</xdr:row>
          <xdr:rowOff>9525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2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171450</xdr:rowOff>
        </xdr:from>
        <xdr:to>
          <xdr:col>4</xdr:col>
          <xdr:colOff>781050</xdr:colOff>
          <xdr:row>18</xdr:row>
          <xdr:rowOff>180975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2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781050</xdr:colOff>
          <xdr:row>22</xdr:row>
          <xdr:rowOff>9525</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2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171450</xdr:rowOff>
        </xdr:from>
        <xdr:to>
          <xdr:col>4</xdr:col>
          <xdr:colOff>781050</xdr:colOff>
          <xdr:row>22</xdr:row>
          <xdr:rowOff>180975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2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4</xdr:col>
          <xdr:colOff>781050</xdr:colOff>
          <xdr:row>26</xdr:row>
          <xdr:rowOff>9525</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2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171450</xdr:rowOff>
        </xdr:from>
        <xdr:to>
          <xdr:col>4</xdr:col>
          <xdr:colOff>781050</xdr:colOff>
          <xdr:row>26</xdr:row>
          <xdr:rowOff>180975</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2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0</xdr:row>
      <xdr:rowOff>19050</xdr:rowOff>
    </xdr:from>
    <xdr:to>
      <xdr:col>0</xdr:col>
      <xdr:colOff>790575</xdr:colOff>
      <xdr:row>0</xdr:row>
      <xdr:rowOff>742882</xdr:rowOff>
    </xdr:to>
    <xdr:pic>
      <xdr:nvPicPr>
        <xdr:cNvPr id="4" name="Picture 3" descr="Graphical user interface, text&#10;&#10;Description automatically generated with medium confidence">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9050"/>
          <a:ext cx="771525" cy="72383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783616</xdr:colOff>
      <xdr:row>96</xdr:row>
      <xdr:rowOff>0</xdr:rowOff>
    </xdr:from>
    <xdr:to>
      <xdr:col>4</xdr:col>
      <xdr:colOff>3860673</xdr:colOff>
      <xdr:row>96</xdr:row>
      <xdr:rowOff>704850</xdr:rowOff>
    </xdr:to>
    <xdr:grpSp>
      <xdr:nvGrpSpPr>
        <xdr:cNvPr id="51" name="Group 50">
          <a:extLst>
            <a:ext uri="{FF2B5EF4-FFF2-40B4-BE49-F238E27FC236}">
              <a16:creationId xmlns:a16="http://schemas.microsoft.com/office/drawing/2014/main" id="{00000000-0008-0000-0300-000033000000}"/>
            </a:ext>
          </a:extLst>
        </xdr:cNvPr>
        <xdr:cNvGrpSpPr/>
      </xdr:nvGrpSpPr>
      <xdr:grpSpPr>
        <a:xfrm>
          <a:off x="783616" y="26622375"/>
          <a:ext cx="10801832" cy="704850"/>
          <a:chOff x="780350" y="0"/>
          <a:chExt cx="10756805" cy="704850"/>
        </a:xfrm>
      </xdr:grpSpPr>
      <xdr:sp macro="" textlink="">
        <xdr:nvSpPr>
          <xdr:cNvPr id="53" name="TextBox 52">
            <a:extLst>
              <a:ext uri="{FF2B5EF4-FFF2-40B4-BE49-F238E27FC236}">
                <a16:creationId xmlns:a16="http://schemas.microsoft.com/office/drawing/2014/main" id="{00000000-0008-0000-0300-000035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4" name="Elbow Connector 53">
            <a:extLst>
              <a:ext uri="{FF2B5EF4-FFF2-40B4-BE49-F238E27FC236}">
                <a16:creationId xmlns:a16="http://schemas.microsoft.com/office/drawing/2014/main" id="{00000000-0008-0000-0300-000036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55" name="Elbow Connector 54">
            <a:extLst>
              <a:ext uri="{FF2B5EF4-FFF2-40B4-BE49-F238E27FC236}">
                <a16:creationId xmlns:a16="http://schemas.microsoft.com/office/drawing/2014/main" id="{00000000-0008-0000-0300-000037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xdr:from>
          <xdr:col>3</xdr:col>
          <xdr:colOff>2619375</xdr:colOff>
          <xdr:row>7</xdr:row>
          <xdr:rowOff>228600</xdr:rowOff>
        </xdr:from>
        <xdr:to>
          <xdr:col>3</xdr:col>
          <xdr:colOff>3808095</xdr:colOff>
          <xdr:row>7</xdr:row>
          <xdr:rowOff>365760</xdr:rowOff>
        </xdr:to>
        <xdr:grpSp>
          <xdr:nvGrpSpPr>
            <xdr:cNvPr id="56" name="Group 55">
              <a:extLst>
                <a:ext uri="{FF2B5EF4-FFF2-40B4-BE49-F238E27FC236}">
                  <a16:creationId xmlns:a16="http://schemas.microsoft.com/office/drawing/2014/main" id="{00000000-0008-0000-0300-000038000000}"/>
                </a:ext>
              </a:extLst>
            </xdr:cNvPr>
            <xdr:cNvGrpSpPr/>
          </xdr:nvGrpSpPr>
          <xdr:grpSpPr>
            <a:xfrm>
              <a:off x="6429375" y="3000375"/>
              <a:ext cx="1188720" cy="137160"/>
              <a:chOff x="6353179" y="1647685"/>
              <a:chExt cx="1474702" cy="209551"/>
            </a:xfrm>
          </xdr:grpSpPr>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6353179" y="1647687"/>
                <a:ext cx="684321"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7058016" y="1647685"/>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5</xdr:row>
          <xdr:rowOff>238125</xdr:rowOff>
        </xdr:from>
        <xdr:to>
          <xdr:col>3</xdr:col>
          <xdr:colOff>3808095</xdr:colOff>
          <xdr:row>5</xdr:row>
          <xdr:rowOff>375285</xdr:rowOff>
        </xdr:to>
        <xdr:grpSp>
          <xdr:nvGrpSpPr>
            <xdr:cNvPr id="49" name="Group 48">
              <a:extLst>
                <a:ext uri="{FF2B5EF4-FFF2-40B4-BE49-F238E27FC236}">
                  <a16:creationId xmlns:a16="http://schemas.microsoft.com/office/drawing/2014/main" id="{00000000-0008-0000-0300-000031000000}"/>
                </a:ext>
              </a:extLst>
            </xdr:cNvPr>
            <xdr:cNvGrpSpPr/>
          </xdr:nvGrpSpPr>
          <xdr:grpSpPr>
            <a:xfrm>
              <a:off x="6429375" y="2171700"/>
              <a:ext cx="1188720" cy="137160"/>
              <a:chOff x="6353179" y="1647685"/>
              <a:chExt cx="1474702" cy="209551"/>
            </a:xfrm>
          </xdr:grpSpPr>
          <xdr:sp macro="" textlink="">
            <xdr:nvSpPr>
              <xdr:cNvPr id="34903" name="Check Box 87" hidden="1">
                <a:extLst>
                  <a:ext uri="{63B3BB69-23CF-44E3-9099-C40C66FF867C}">
                    <a14:compatExt spid="_x0000_s34903"/>
                  </a:ext>
                  <a:ext uri="{FF2B5EF4-FFF2-40B4-BE49-F238E27FC236}">
                    <a16:creationId xmlns:a16="http://schemas.microsoft.com/office/drawing/2014/main" id="{00000000-0008-0000-0300-000057880000}"/>
                  </a:ext>
                </a:extLst>
              </xdr:cNvPr>
              <xdr:cNvSpPr/>
            </xdr:nvSpPr>
            <xdr:spPr bwMode="auto">
              <a:xfrm>
                <a:off x="6353179" y="1647687"/>
                <a:ext cx="684321"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04" name="Check Box 88" hidden="1">
                <a:extLst>
                  <a:ext uri="{63B3BB69-23CF-44E3-9099-C40C66FF867C}">
                    <a14:compatExt spid="_x0000_s34904"/>
                  </a:ext>
                  <a:ext uri="{FF2B5EF4-FFF2-40B4-BE49-F238E27FC236}">
                    <a16:creationId xmlns:a16="http://schemas.microsoft.com/office/drawing/2014/main" id="{00000000-0008-0000-0300-000058880000}"/>
                  </a:ext>
                </a:extLst>
              </xdr:cNvPr>
              <xdr:cNvSpPr/>
            </xdr:nvSpPr>
            <xdr:spPr bwMode="auto">
              <a:xfrm>
                <a:off x="7058016" y="1647685"/>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6</xdr:row>
          <xdr:rowOff>228600</xdr:rowOff>
        </xdr:from>
        <xdr:to>
          <xdr:col>3</xdr:col>
          <xdr:colOff>3808095</xdr:colOff>
          <xdr:row>6</xdr:row>
          <xdr:rowOff>365760</xdr:rowOff>
        </xdr:to>
        <xdr:grpSp>
          <xdr:nvGrpSpPr>
            <xdr:cNvPr id="68" name="Group 67">
              <a:extLst>
                <a:ext uri="{FF2B5EF4-FFF2-40B4-BE49-F238E27FC236}">
                  <a16:creationId xmlns:a16="http://schemas.microsoft.com/office/drawing/2014/main" id="{00000000-0008-0000-0300-000044000000}"/>
                </a:ext>
              </a:extLst>
            </xdr:cNvPr>
            <xdr:cNvGrpSpPr/>
          </xdr:nvGrpSpPr>
          <xdr:grpSpPr>
            <a:xfrm>
              <a:off x="6429375" y="2581275"/>
              <a:ext cx="1188720" cy="137160"/>
              <a:chOff x="6353179" y="1647685"/>
              <a:chExt cx="1474702" cy="209551"/>
            </a:xfrm>
          </xdr:grpSpPr>
          <xdr:sp macro="" textlink="">
            <xdr:nvSpPr>
              <xdr:cNvPr id="34947" name="Check Box 131" hidden="1">
                <a:extLst>
                  <a:ext uri="{63B3BB69-23CF-44E3-9099-C40C66FF867C}">
                    <a14:compatExt spid="_x0000_s34947"/>
                  </a:ext>
                  <a:ext uri="{FF2B5EF4-FFF2-40B4-BE49-F238E27FC236}">
                    <a16:creationId xmlns:a16="http://schemas.microsoft.com/office/drawing/2014/main" id="{00000000-0008-0000-0300-000083880000}"/>
                  </a:ext>
                </a:extLst>
              </xdr:cNvPr>
              <xdr:cNvSpPr/>
            </xdr:nvSpPr>
            <xdr:spPr bwMode="auto">
              <a:xfrm>
                <a:off x="6353179" y="1647687"/>
                <a:ext cx="684321"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48" name="Check Box 132" hidden="1">
                <a:extLst>
                  <a:ext uri="{63B3BB69-23CF-44E3-9099-C40C66FF867C}">
                    <a14:compatExt spid="_x0000_s34948"/>
                  </a:ext>
                  <a:ext uri="{FF2B5EF4-FFF2-40B4-BE49-F238E27FC236}">
                    <a16:creationId xmlns:a16="http://schemas.microsoft.com/office/drawing/2014/main" id="{00000000-0008-0000-0300-000084880000}"/>
                  </a:ext>
                </a:extLst>
              </xdr:cNvPr>
              <xdr:cNvSpPr/>
            </xdr:nvSpPr>
            <xdr:spPr bwMode="auto">
              <a:xfrm>
                <a:off x="7058016" y="1647685"/>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4</xdr:row>
          <xdr:rowOff>238126</xdr:rowOff>
        </xdr:from>
        <xdr:to>
          <xdr:col>3</xdr:col>
          <xdr:colOff>3808094</xdr:colOff>
          <xdr:row>4</xdr:row>
          <xdr:rowOff>375287</xdr:rowOff>
        </xdr:to>
        <xdr:grpSp>
          <xdr:nvGrpSpPr>
            <xdr:cNvPr id="64" name="Group 63">
              <a:extLst>
                <a:ext uri="{FF2B5EF4-FFF2-40B4-BE49-F238E27FC236}">
                  <a16:creationId xmlns:a16="http://schemas.microsoft.com/office/drawing/2014/main" id="{00000000-0008-0000-0300-000040000000}"/>
                </a:ext>
              </a:extLst>
            </xdr:cNvPr>
            <xdr:cNvGrpSpPr/>
          </xdr:nvGrpSpPr>
          <xdr:grpSpPr>
            <a:xfrm>
              <a:off x="6429375" y="1752601"/>
              <a:ext cx="1188719" cy="137161"/>
              <a:chOff x="6353172" y="1647742"/>
              <a:chExt cx="1474704" cy="209552"/>
            </a:xfrm>
          </xdr:grpSpPr>
          <xdr:sp macro="" textlink="">
            <xdr:nvSpPr>
              <xdr:cNvPr id="34949" name="Check Box 133" hidden="1">
                <a:extLst>
                  <a:ext uri="{63B3BB69-23CF-44E3-9099-C40C66FF867C}">
                    <a14:compatExt spid="_x0000_s34949"/>
                  </a:ext>
                  <a:ext uri="{FF2B5EF4-FFF2-40B4-BE49-F238E27FC236}">
                    <a16:creationId xmlns:a16="http://schemas.microsoft.com/office/drawing/2014/main" id="{00000000-0008-0000-0300-000085880000}"/>
                  </a:ext>
                </a:extLst>
              </xdr:cNvPr>
              <xdr:cNvSpPr/>
            </xdr:nvSpPr>
            <xdr:spPr bwMode="auto">
              <a:xfrm>
                <a:off x="6353172" y="1647745"/>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50" name="Check Box 134" hidden="1">
                <a:extLst>
                  <a:ext uri="{63B3BB69-23CF-44E3-9099-C40C66FF867C}">
                    <a14:compatExt spid="_x0000_s34950"/>
                  </a:ext>
                  <a:ext uri="{FF2B5EF4-FFF2-40B4-BE49-F238E27FC236}">
                    <a16:creationId xmlns:a16="http://schemas.microsoft.com/office/drawing/2014/main" id="{00000000-0008-0000-0300-000086880000}"/>
                  </a:ext>
                </a:extLst>
              </xdr:cNvPr>
              <xdr:cNvSpPr/>
            </xdr:nvSpPr>
            <xdr:spPr bwMode="auto">
              <a:xfrm>
                <a:off x="7058011" y="1647742"/>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3</xdr:row>
          <xdr:rowOff>161926</xdr:rowOff>
        </xdr:from>
        <xdr:to>
          <xdr:col>3</xdr:col>
          <xdr:colOff>3808094</xdr:colOff>
          <xdr:row>3</xdr:row>
          <xdr:rowOff>270512</xdr:rowOff>
        </xdr:to>
        <xdr:grpSp>
          <xdr:nvGrpSpPr>
            <xdr:cNvPr id="57" name="Group 56">
              <a:extLst>
                <a:ext uri="{FF2B5EF4-FFF2-40B4-BE49-F238E27FC236}">
                  <a16:creationId xmlns:a16="http://schemas.microsoft.com/office/drawing/2014/main" id="{00000000-0008-0000-0300-000039000000}"/>
                </a:ext>
              </a:extLst>
            </xdr:cNvPr>
            <xdr:cNvGrpSpPr/>
          </xdr:nvGrpSpPr>
          <xdr:grpSpPr>
            <a:xfrm>
              <a:off x="6429375" y="1257301"/>
              <a:ext cx="1188719" cy="108586"/>
              <a:chOff x="6353172" y="1647759"/>
              <a:chExt cx="1474704" cy="209568"/>
            </a:xfrm>
          </xdr:grpSpPr>
          <xdr:sp macro="" textlink="">
            <xdr:nvSpPr>
              <xdr:cNvPr id="34951" name="Check Box 135" hidden="1">
                <a:extLst>
                  <a:ext uri="{63B3BB69-23CF-44E3-9099-C40C66FF867C}">
                    <a14:compatExt spid="_x0000_s34951"/>
                  </a:ext>
                  <a:ext uri="{FF2B5EF4-FFF2-40B4-BE49-F238E27FC236}">
                    <a16:creationId xmlns:a16="http://schemas.microsoft.com/office/drawing/2014/main" id="{00000000-0008-0000-0300-000087880000}"/>
                  </a:ext>
                </a:extLst>
              </xdr:cNvPr>
              <xdr:cNvSpPr/>
            </xdr:nvSpPr>
            <xdr:spPr bwMode="auto">
              <a:xfrm>
                <a:off x="6353172" y="1647778"/>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52" name="Check Box 136" hidden="1">
                <a:extLst>
                  <a:ext uri="{63B3BB69-23CF-44E3-9099-C40C66FF867C}">
                    <a14:compatExt spid="_x0000_s34952"/>
                  </a:ext>
                  <a:ext uri="{FF2B5EF4-FFF2-40B4-BE49-F238E27FC236}">
                    <a16:creationId xmlns:a16="http://schemas.microsoft.com/office/drawing/2014/main" id="{00000000-0008-0000-0300-000088880000}"/>
                  </a:ext>
                </a:extLst>
              </xdr:cNvPr>
              <xdr:cNvSpPr/>
            </xdr:nvSpPr>
            <xdr:spPr bwMode="auto">
              <a:xfrm>
                <a:off x="7058011" y="164775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133384</xdr:colOff>
          <xdr:row>2</xdr:row>
          <xdr:rowOff>104775</xdr:rowOff>
        </xdr:from>
        <xdr:to>
          <xdr:col>5</xdr:col>
          <xdr:colOff>123843</xdr:colOff>
          <xdr:row>2</xdr:row>
          <xdr:rowOff>299088</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7858159" y="819150"/>
              <a:ext cx="3905234" cy="194313"/>
              <a:chOff x="7715259" y="838195"/>
              <a:chExt cx="1819266" cy="184793"/>
            </a:xfrm>
          </xdr:grpSpPr>
          <xdr:grpSp>
            <xdr:nvGrpSpPr>
              <xdr:cNvPr id="59" name="Group 58">
                <a:extLst>
                  <a:ext uri="{FF2B5EF4-FFF2-40B4-BE49-F238E27FC236}">
                    <a16:creationId xmlns:a16="http://schemas.microsoft.com/office/drawing/2014/main" id="{00000000-0008-0000-0300-00003B000000}"/>
                  </a:ext>
                </a:extLst>
              </xdr:cNvPr>
              <xdr:cNvGrpSpPr/>
            </xdr:nvGrpSpPr>
            <xdr:grpSpPr>
              <a:xfrm>
                <a:off x="7715259" y="838205"/>
                <a:ext cx="1188702" cy="184783"/>
                <a:chOff x="6353173" y="1647742"/>
                <a:chExt cx="1474687" cy="209548"/>
              </a:xfrm>
            </xdr:grpSpPr>
            <xdr:sp macro="" textlink="">
              <xdr:nvSpPr>
                <xdr:cNvPr id="34954" name="Check Box 138" hidden="1">
                  <a:extLst>
                    <a:ext uri="{63B3BB69-23CF-44E3-9099-C40C66FF867C}">
                      <a14:compatExt spid="_x0000_s34954"/>
                    </a:ext>
                    <a:ext uri="{FF2B5EF4-FFF2-40B4-BE49-F238E27FC236}">
                      <a16:creationId xmlns:a16="http://schemas.microsoft.com/office/drawing/2014/main" id="{00000000-0008-0000-0300-00008A880000}"/>
                    </a:ext>
                  </a:extLst>
                </xdr:cNvPr>
                <xdr:cNvSpPr/>
              </xdr:nvSpPr>
              <xdr:spPr bwMode="auto">
                <a:xfrm>
                  <a:off x="6353173" y="1647742"/>
                  <a:ext cx="684321" cy="2095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55" name="Check Box 139" hidden="1">
                  <a:extLst>
                    <a:ext uri="{63B3BB69-23CF-44E3-9099-C40C66FF867C}">
                      <a14:compatExt spid="_x0000_s34955"/>
                    </a:ext>
                    <a:ext uri="{FF2B5EF4-FFF2-40B4-BE49-F238E27FC236}">
                      <a16:creationId xmlns:a16="http://schemas.microsoft.com/office/drawing/2014/main" id="{00000000-0008-0000-0300-00008B880000}"/>
                    </a:ext>
                  </a:extLst>
                </xdr:cNvPr>
                <xdr:cNvSpPr/>
              </xdr:nvSpPr>
              <xdr:spPr bwMode="auto">
                <a:xfrm>
                  <a:off x="7057995" y="1647742"/>
                  <a:ext cx="769865" cy="2095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sp macro="" textlink="">
            <xdr:nvSpPr>
              <xdr:cNvPr id="34956" name="Check Box 140" hidden="1">
                <a:extLst>
                  <a:ext uri="{63B3BB69-23CF-44E3-9099-C40C66FF867C}">
                    <a14:compatExt spid="_x0000_s34956"/>
                  </a:ext>
                  <a:ext uri="{FF2B5EF4-FFF2-40B4-BE49-F238E27FC236}">
                    <a16:creationId xmlns:a16="http://schemas.microsoft.com/office/drawing/2014/main" id="{00000000-0008-0000-0300-00008C880000}"/>
                  </a:ext>
                </a:extLst>
              </xdr:cNvPr>
              <xdr:cNvSpPr/>
            </xdr:nvSpPr>
            <xdr:spPr bwMode="auto">
              <a:xfrm>
                <a:off x="8915400" y="838195"/>
                <a:ext cx="619125" cy="1809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15</xdr:row>
          <xdr:rowOff>47625</xdr:rowOff>
        </xdr:from>
        <xdr:to>
          <xdr:col>7</xdr:col>
          <xdr:colOff>34290</xdr:colOff>
          <xdr:row>15</xdr:row>
          <xdr:rowOff>219075</xdr:rowOff>
        </xdr:to>
        <xdr:grpSp>
          <xdr:nvGrpSpPr>
            <xdr:cNvPr id="70" name="Group 69">
              <a:extLst>
                <a:ext uri="{FF2B5EF4-FFF2-40B4-BE49-F238E27FC236}">
                  <a16:creationId xmlns:a16="http://schemas.microsoft.com/office/drawing/2014/main" id="{00000000-0008-0000-0300-000046000000}"/>
                </a:ext>
              </a:extLst>
            </xdr:cNvPr>
            <xdr:cNvGrpSpPr/>
          </xdr:nvGrpSpPr>
          <xdr:grpSpPr>
            <a:xfrm>
              <a:off x="14430375" y="4819650"/>
              <a:ext cx="1234440" cy="171450"/>
              <a:chOff x="6353165" y="1647729"/>
              <a:chExt cx="1474702" cy="209549"/>
            </a:xfrm>
          </xdr:grpSpPr>
          <xdr:sp macro="" textlink="">
            <xdr:nvSpPr>
              <xdr:cNvPr id="34996" name="Check Box 180" hidden="1">
                <a:extLst>
                  <a:ext uri="{63B3BB69-23CF-44E3-9099-C40C66FF867C}">
                    <a14:compatExt spid="_x0000_s34996"/>
                  </a:ext>
                  <a:ext uri="{FF2B5EF4-FFF2-40B4-BE49-F238E27FC236}">
                    <a16:creationId xmlns:a16="http://schemas.microsoft.com/office/drawing/2014/main" id="{00000000-0008-0000-0300-0000B4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97" name="Check Box 181" hidden="1">
                <a:extLst>
                  <a:ext uri="{63B3BB69-23CF-44E3-9099-C40C66FF867C}">
                    <a14:compatExt spid="_x0000_s34997"/>
                  </a:ext>
                  <a:ext uri="{FF2B5EF4-FFF2-40B4-BE49-F238E27FC236}">
                    <a16:creationId xmlns:a16="http://schemas.microsoft.com/office/drawing/2014/main" id="{00000000-0008-0000-0300-0000B5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16</xdr:row>
          <xdr:rowOff>47625</xdr:rowOff>
        </xdr:from>
        <xdr:to>
          <xdr:col>7</xdr:col>
          <xdr:colOff>34290</xdr:colOff>
          <xdr:row>16</xdr:row>
          <xdr:rowOff>219075</xdr:rowOff>
        </xdr:to>
        <xdr:grpSp>
          <xdr:nvGrpSpPr>
            <xdr:cNvPr id="73" name="Group 72">
              <a:extLst>
                <a:ext uri="{FF2B5EF4-FFF2-40B4-BE49-F238E27FC236}">
                  <a16:creationId xmlns:a16="http://schemas.microsoft.com/office/drawing/2014/main" id="{00000000-0008-0000-0300-000049000000}"/>
                </a:ext>
              </a:extLst>
            </xdr:cNvPr>
            <xdr:cNvGrpSpPr/>
          </xdr:nvGrpSpPr>
          <xdr:grpSpPr>
            <a:xfrm>
              <a:off x="14430375" y="5067300"/>
              <a:ext cx="1234440" cy="171450"/>
              <a:chOff x="6353165" y="1647729"/>
              <a:chExt cx="1474702" cy="209549"/>
            </a:xfrm>
          </xdr:grpSpPr>
          <xdr:sp macro="" textlink="">
            <xdr:nvSpPr>
              <xdr:cNvPr id="35001" name="Check Box 185" hidden="1">
                <a:extLst>
                  <a:ext uri="{63B3BB69-23CF-44E3-9099-C40C66FF867C}">
                    <a14:compatExt spid="_x0000_s35001"/>
                  </a:ext>
                  <a:ext uri="{FF2B5EF4-FFF2-40B4-BE49-F238E27FC236}">
                    <a16:creationId xmlns:a16="http://schemas.microsoft.com/office/drawing/2014/main" id="{00000000-0008-0000-0300-0000B9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02" name="Check Box 186" hidden="1">
                <a:extLst>
                  <a:ext uri="{63B3BB69-23CF-44E3-9099-C40C66FF867C}">
                    <a14:compatExt spid="_x0000_s35002"/>
                  </a:ext>
                  <a:ext uri="{FF2B5EF4-FFF2-40B4-BE49-F238E27FC236}">
                    <a16:creationId xmlns:a16="http://schemas.microsoft.com/office/drawing/2014/main" id="{00000000-0008-0000-0300-0000BA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21</xdr:row>
          <xdr:rowOff>47625</xdr:rowOff>
        </xdr:from>
        <xdr:to>
          <xdr:col>7</xdr:col>
          <xdr:colOff>34290</xdr:colOff>
          <xdr:row>21</xdr:row>
          <xdr:rowOff>219075</xdr:rowOff>
        </xdr:to>
        <xdr:grpSp>
          <xdr:nvGrpSpPr>
            <xdr:cNvPr id="76" name="Group 75">
              <a:extLst>
                <a:ext uri="{FF2B5EF4-FFF2-40B4-BE49-F238E27FC236}">
                  <a16:creationId xmlns:a16="http://schemas.microsoft.com/office/drawing/2014/main" id="{00000000-0008-0000-0300-00004C000000}"/>
                </a:ext>
              </a:extLst>
            </xdr:cNvPr>
            <xdr:cNvGrpSpPr/>
          </xdr:nvGrpSpPr>
          <xdr:grpSpPr>
            <a:xfrm>
              <a:off x="14430375" y="6305550"/>
              <a:ext cx="1234440" cy="171450"/>
              <a:chOff x="6353165" y="1647729"/>
              <a:chExt cx="1474702" cy="209549"/>
            </a:xfrm>
          </xdr:grpSpPr>
          <xdr:sp macro="" textlink="">
            <xdr:nvSpPr>
              <xdr:cNvPr id="35006" name="Check Box 190" hidden="1">
                <a:extLst>
                  <a:ext uri="{63B3BB69-23CF-44E3-9099-C40C66FF867C}">
                    <a14:compatExt spid="_x0000_s35006"/>
                  </a:ext>
                  <a:ext uri="{FF2B5EF4-FFF2-40B4-BE49-F238E27FC236}">
                    <a16:creationId xmlns:a16="http://schemas.microsoft.com/office/drawing/2014/main" id="{00000000-0008-0000-0300-0000BE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07" name="Check Box 191" hidden="1">
                <a:extLst>
                  <a:ext uri="{63B3BB69-23CF-44E3-9099-C40C66FF867C}">
                    <a14:compatExt spid="_x0000_s35007"/>
                  </a:ext>
                  <a:ext uri="{FF2B5EF4-FFF2-40B4-BE49-F238E27FC236}">
                    <a16:creationId xmlns:a16="http://schemas.microsoft.com/office/drawing/2014/main" id="{00000000-0008-0000-0300-0000BF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22</xdr:row>
          <xdr:rowOff>47625</xdr:rowOff>
        </xdr:from>
        <xdr:to>
          <xdr:col>7</xdr:col>
          <xdr:colOff>34290</xdr:colOff>
          <xdr:row>22</xdr:row>
          <xdr:rowOff>219075</xdr:rowOff>
        </xdr:to>
        <xdr:grpSp>
          <xdr:nvGrpSpPr>
            <xdr:cNvPr id="79" name="Group 78">
              <a:extLst>
                <a:ext uri="{FF2B5EF4-FFF2-40B4-BE49-F238E27FC236}">
                  <a16:creationId xmlns:a16="http://schemas.microsoft.com/office/drawing/2014/main" id="{00000000-0008-0000-0300-00004F000000}"/>
                </a:ext>
              </a:extLst>
            </xdr:cNvPr>
            <xdr:cNvGrpSpPr/>
          </xdr:nvGrpSpPr>
          <xdr:grpSpPr>
            <a:xfrm>
              <a:off x="14430375" y="6553200"/>
              <a:ext cx="1234440" cy="171450"/>
              <a:chOff x="6353165" y="1647729"/>
              <a:chExt cx="1474702" cy="209549"/>
            </a:xfrm>
          </xdr:grpSpPr>
          <xdr:sp macro="" textlink="">
            <xdr:nvSpPr>
              <xdr:cNvPr id="35008" name="Check Box 192" hidden="1">
                <a:extLst>
                  <a:ext uri="{63B3BB69-23CF-44E3-9099-C40C66FF867C}">
                    <a14:compatExt spid="_x0000_s35008"/>
                  </a:ext>
                  <a:ext uri="{FF2B5EF4-FFF2-40B4-BE49-F238E27FC236}">
                    <a16:creationId xmlns:a16="http://schemas.microsoft.com/office/drawing/2014/main" id="{00000000-0008-0000-0300-0000C0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09" name="Check Box 193" hidden="1">
                <a:extLst>
                  <a:ext uri="{63B3BB69-23CF-44E3-9099-C40C66FF867C}">
                    <a14:compatExt spid="_x0000_s35009"/>
                  </a:ext>
                  <a:ext uri="{FF2B5EF4-FFF2-40B4-BE49-F238E27FC236}">
                    <a16:creationId xmlns:a16="http://schemas.microsoft.com/office/drawing/2014/main" id="{00000000-0008-0000-0300-0000C1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27</xdr:row>
          <xdr:rowOff>47625</xdr:rowOff>
        </xdr:from>
        <xdr:to>
          <xdr:col>7</xdr:col>
          <xdr:colOff>34290</xdr:colOff>
          <xdr:row>27</xdr:row>
          <xdr:rowOff>219075</xdr:rowOff>
        </xdr:to>
        <xdr:grpSp>
          <xdr:nvGrpSpPr>
            <xdr:cNvPr id="82" name="Group 81">
              <a:extLst>
                <a:ext uri="{FF2B5EF4-FFF2-40B4-BE49-F238E27FC236}">
                  <a16:creationId xmlns:a16="http://schemas.microsoft.com/office/drawing/2014/main" id="{00000000-0008-0000-0300-000052000000}"/>
                </a:ext>
              </a:extLst>
            </xdr:cNvPr>
            <xdr:cNvGrpSpPr/>
          </xdr:nvGrpSpPr>
          <xdr:grpSpPr>
            <a:xfrm>
              <a:off x="14430375" y="7791450"/>
              <a:ext cx="1234440" cy="171450"/>
              <a:chOff x="6353165" y="1647729"/>
              <a:chExt cx="1474702" cy="209549"/>
            </a:xfrm>
          </xdr:grpSpPr>
          <xdr:sp macro="" textlink="">
            <xdr:nvSpPr>
              <xdr:cNvPr id="35010" name="Check Box 194" hidden="1">
                <a:extLst>
                  <a:ext uri="{63B3BB69-23CF-44E3-9099-C40C66FF867C}">
                    <a14:compatExt spid="_x0000_s35010"/>
                  </a:ext>
                  <a:ext uri="{FF2B5EF4-FFF2-40B4-BE49-F238E27FC236}">
                    <a16:creationId xmlns:a16="http://schemas.microsoft.com/office/drawing/2014/main" id="{00000000-0008-0000-0300-0000C2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11" name="Check Box 195" hidden="1">
                <a:extLst>
                  <a:ext uri="{63B3BB69-23CF-44E3-9099-C40C66FF867C}">
                    <a14:compatExt spid="_x0000_s35011"/>
                  </a:ext>
                  <a:ext uri="{FF2B5EF4-FFF2-40B4-BE49-F238E27FC236}">
                    <a16:creationId xmlns:a16="http://schemas.microsoft.com/office/drawing/2014/main" id="{00000000-0008-0000-0300-0000C3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28</xdr:row>
          <xdr:rowOff>47625</xdr:rowOff>
        </xdr:from>
        <xdr:to>
          <xdr:col>7</xdr:col>
          <xdr:colOff>34290</xdr:colOff>
          <xdr:row>28</xdr:row>
          <xdr:rowOff>219075</xdr:rowOff>
        </xdr:to>
        <xdr:grpSp>
          <xdr:nvGrpSpPr>
            <xdr:cNvPr id="85" name="Group 84">
              <a:extLst>
                <a:ext uri="{FF2B5EF4-FFF2-40B4-BE49-F238E27FC236}">
                  <a16:creationId xmlns:a16="http://schemas.microsoft.com/office/drawing/2014/main" id="{00000000-0008-0000-0300-000055000000}"/>
                </a:ext>
              </a:extLst>
            </xdr:cNvPr>
            <xdr:cNvGrpSpPr/>
          </xdr:nvGrpSpPr>
          <xdr:grpSpPr>
            <a:xfrm>
              <a:off x="14430375" y="8039100"/>
              <a:ext cx="1234440" cy="171450"/>
              <a:chOff x="6353165" y="1647729"/>
              <a:chExt cx="1474702" cy="209549"/>
            </a:xfrm>
          </xdr:grpSpPr>
          <xdr:sp macro="" textlink="">
            <xdr:nvSpPr>
              <xdr:cNvPr id="35012" name="Check Box 196" hidden="1">
                <a:extLst>
                  <a:ext uri="{63B3BB69-23CF-44E3-9099-C40C66FF867C}">
                    <a14:compatExt spid="_x0000_s35012"/>
                  </a:ext>
                  <a:ext uri="{FF2B5EF4-FFF2-40B4-BE49-F238E27FC236}">
                    <a16:creationId xmlns:a16="http://schemas.microsoft.com/office/drawing/2014/main" id="{00000000-0008-0000-0300-0000C4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13" name="Check Box 197" hidden="1">
                <a:extLst>
                  <a:ext uri="{63B3BB69-23CF-44E3-9099-C40C66FF867C}">
                    <a14:compatExt spid="_x0000_s35013"/>
                  </a:ext>
                  <a:ext uri="{FF2B5EF4-FFF2-40B4-BE49-F238E27FC236}">
                    <a16:creationId xmlns:a16="http://schemas.microsoft.com/office/drawing/2014/main" id="{00000000-0008-0000-0300-0000C5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33</xdr:row>
          <xdr:rowOff>47625</xdr:rowOff>
        </xdr:from>
        <xdr:to>
          <xdr:col>7</xdr:col>
          <xdr:colOff>34290</xdr:colOff>
          <xdr:row>33</xdr:row>
          <xdr:rowOff>219075</xdr:rowOff>
        </xdr:to>
        <xdr:grpSp>
          <xdr:nvGrpSpPr>
            <xdr:cNvPr id="88" name="Group 87">
              <a:extLst>
                <a:ext uri="{FF2B5EF4-FFF2-40B4-BE49-F238E27FC236}">
                  <a16:creationId xmlns:a16="http://schemas.microsoft.com/office/drawing/2014/main" id="{00000000-0008-0000-0300-000058000000}"/>
                </a:ext>
              </a:extLst>
            </xdr:cNvPr>
            <xdr:cNvGrpSpPr/>
          </xdr:nvGrpSpPr>
          <xdr:grpSpPr>
            <a:xfrm>
              <a:off x="14430375" y="9277350"/>
              <a:ext cx="1234440" cy="171450"/>
              <a:chOff x="6353165" y="1647729"/>
              <a:chExt cx="1474702" cy="209549"/>
            </a:xfrm>
          </xdr:grpSpPr>
          <xdr:sp macro="" textlink="">
            <xdr:nvSpPr>
              <xdr:cNvPr id="35014" name="Check Box 198" hidden="1">
                <a:extLst>
                  <a:ext uri="{63B3BB69-23CF-44E3-9099-C40C66FF867C}">
                    <a14:compatExt spid="_x0000_s35014"/>
                  </a:ext>
                  <a:ext uri="{FF2B5EF4-FFF2-40B4-BE49-F238E27FC236}">
                    <a16:creationId xmlns:a16="http://schemas.microsoft.com/office/drawing/2014/main" id="{00000000-0008-0000-0300-0000C6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15" name="Check Box 199" hidden="1">
                <a:extLst>
                  <a:ext uri="{63B3BB69-23CF-44E3-9099-C40C66FF867C}">
                    <a14:compatExt spid="_x0000_s35015"/>
                  </a:ext>
                  <a:ext uri="{FF2B5EF4-FFF2-40B4-BE49-F238E27FC236}">
                    <a16:creationId xmlns:a16="http://schemas.microsoft.com/office/drawing/2014/main" id="{00000000-0008-0000-0300-0000C7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34</xdr:row>
          <xdr:rowOff>47625</xdr:rowOff>
        </xdr:from>
        <xdr:to>
          <xdr:col>7</xdr:col>
          <xdr:colOff>34290</xdr:colOff>
          <xdr:row>34</xdr:row>
          <xdr:rowOff>219075</xdr:rowOff>
        </xdr:to>
        <xdr:grpSp>
          <xdr:nvGrpSpPr>
            <xdr:cNvPr id="91" name="Group 90">
              <a:extLst>
                <a:ext uri="{FF2B5EF4-FFF2-40B4-BE49-F238E27FC236}">
                  <a16:creationId xmlns:a16="http://schemas.microsoft.com/office/drawing/2014/main" id="{00000000-0008-0000-0300-00005B000000}"/>
                </a:ext>
              </a:extLst>
            </xdr:cNvPr>
            <xdr:cNvGrpSpPr/>
          </xdr:nvGrpSpPr>
          <xdr:grpSpPr>
            <a:xfrm>
              <a:off x="14430375" y="9525000"/>
              <a:ext cx="1234440" cy="171450"/>
              <a:chOff x="6353165" y="1647729"/>
              <a:chExt cx="1474702" cy="209549"/>
            </a:xfrm>
          </xdr:grpSpPr>
          <xdr:sp macro="" textlink="">
            <xdr:nvSpPr>
              <xdr:cNvPr id="35016" name="Check Box 200" hidden="1">
                <a:extLst>
                  <a:ext uri="{63B3BB69-23CF-44E3-9099-C40C66FF867C}">
                    <a14:compatExt spid="_x0000_s35016"/>
                  </a:ext>
                  <a:ext uri="{FF2B5EF4-FFF2-40B4-BE49-F238E27FC236}">
                    <a16:creationId xmlns:a16="http://schemas.microsoft.com/office/drawing/2014/main" id="{00000000-0008-0000-0300-0000C8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17" name="Check Box 201" hidden="1">
                <a:extLst>
                  <a:ext uri="{63B3BB69-23CF-44E3-9099-C40C66FF867C}">
                    <a14:compatExt spid="_x0000_s35017"/>
                  </a:ext>
                  <a:ext uri="{FF2B5EF4-FFF2-40B4-BE49-F238E27FC236}">
                    <a16:creationId xmlns:a16="http://schemas.microsoft.com/office/drawing/2014/main" id="{00000000-0008-0000-0300-0000C9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39</xdr:row>
          <xdr:rowOff>47625</xdr:rowOff>
        </xdr:from>
        <xdr:to>
          <xdr:col>7</xdr:col>
          <xdr:colOff>34290</xdr:colOff>
          <xdr:row>39</xdr:row>
          <xdr:rowOff>219075</xdr:rowOff>
        </xdr:to>
        <xdr:grpSp>
          <xdr:nvGrpSpPr>
            <xdr:cNvPr id="94" name="Group 93">
              <a:extLst>
                <a:ext uri="{FF2B5EF4-FFF2-40B4-BE49-F238E27FC236}">
                  <a16:creationId xmlns:a16="http://schemas.microsoft.com/office/drawing/2014/main" id="{00000000-0008-0000-0300-00005E000000}"/>
                </a:ext>
              </a:extLst>
            </xdr:cNvPr>
            <xdr:cNvGrpSpPr/>
          </xdr:nvGrpSpPr>
          <xdr:grpSpPr>
            <a:xfrm>
              <a:off x="14430375" y="10763250"/>
              <a:ext cx="1234440" cy="171450"/>
              <a:chOff x="6353165" y="1647729"/>
              <a:chExt cx="1474702" cy="209549"/>
            </a:xfrm>
          </xdr:grpSpPr>
          <xdr:sp macro="" textlink="">
            <xdr:nvSpPr>
              <xdr:cNvPr id="35018" name="Check Box 202" hidden="1">
                <a:extLst>
                  <a:ext uri="{63B3BB69-23CF-44E3-9099-C40C66FF867C}">
                    <a14:compatExt spid="_x0000_s35018"/>
                  </a:ext>
                  <a:ext uri="{FF2B5EF4-FFF2-40B4-BE49-F238E27FC236}">
                    <a16:creationId xmlns:a16="http://schemas.microsoft.com/office/drawing/2014/main" id="{00000000-0008-0000-0300-0000CA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19" name="Check Box 203" hidden="1">
                <a:extLst>
                  <a:ext uri="{63B3BB69-23CF-44E3-9099-C40C66FF867C}">
                    <a14:compatExt spid="_x0000_s35019"/>
                  </a:ext>
                  <a:ext uri="{FF2B5EF4-FFF2-40B4-BE49-F238E27FC236}">
                    <a16:creationId xmlns:a16="http://schemas.microsoft.com/office/drawing/2014/main" id="{00000000-0008-0000-0300-0000CB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40</xdr:row>
          <xdr:rowOff>47625</xdr:rowOff>
        </xdr:from>
        <xdr:to>
          <xdr:col>7</xdr:col>
          <xdr:colOff>34290</xdr:colOff>
          <xdr:row>40</xdr:row>
          <xdr:rowOff>219075</xdr:rowOff>
        </xdr:to>
        <xdr:grpSp>
          <xdr:nvGrpSpPr>
            <xdr:cNvPr id="97" name="Group 96">
              <a:extLst>
                <a:ext uri="{FF2B5EF4-FFF2-40B4-BE49-F238E27FC236}">
                  <a16:creationId xmlns:a16="http://schemas.microsoft.com/office/drawing/2014/main" id="{00000000-0008-0000-0300-000061000000}"/>
                </a:ext>
              </a:extLst>
            </xdr:cNvPr>
            <xdr:cNvGrpSpPr/>
          </xdr:nvGrpSpPr>
          <xdr:grpSpPr>
            <a:xfrm>
              <a:off x="14430375" y="11010900"/>
              <a:ext cx="1234440" cy="171450"/>
              <a:chOff x="6353165" y="1647729"/>
              <a:chExt cx="1474702" cy="209549"/>
            </a:xfrm>
          </xdr:grpSpPr>
          <xdr:sp macro="" textlink="">
            <xdr:nvSpPr>
              <xdr:cNvPr id="35020" name="Check Box 204" hidden="1">
                <a:extLst>
                  <a:ext uri="{63B3BB69-23CF-44E3-9099-C40C66FF867C}">
                    <a14:compatExt spid="_x0000_s35020"/>
                  </a:ext>
                  <a:ext uri="{FF2B5EF4-FFF2-40B4-BE49-F238E27FC236}">
                    <a16:creationId xmlns:a16="http://schemas.microsoft.com/office/drawing/2014/main" id="{00000000-0008-0000-0300-0000CC880000}"/>
                  </a:ext>
                </a:extLst>
              </xdr:cNvPr>
              <xdr:cNvSpPr/>
            </xdr:nvSpPr>
            <xdr:spPr bwMode="auto">
              <a:xfrm>
                <a:off x="6353165" y="1647729"/>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021" name="Check Box 205" hidden="1">
                <a:extLst>
                  <a:ext uri="{63B3BB69-23CF-44E3-9099-C40C66FF867C}">
                    <a14:compatExt spid="_x0000_s35021"/>
                  </a:ext>
                  <a:ext uri="{FF2B5EF4-FFF2-40B4-BE49-F238E27FC236}">
                    <a16:creationId xmlns:a16="http://schemas.microsoft.com/office/drawing/2014/main" id="{00000000-0008-0000-0300-0000CD880000}"/>
                  </a:ext>
                </a:extLst>
              </xdr:cNvPr>
              <xdr:cNvSpPr/>
            </xdr:nvSpPr>
            <xdr:spPr bwMode="auto">
              <a:xfrm>
                <a:off x="7058002" y="16477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editAs="oneCell">
    <xdr:from>
      <xdr:col>0</xdr:col>
      <xdr:colOff>19050</xdr:colOff>
      <xdr:row>96</xdr:row>
      <xdr:rowOff>19050</xdr:rowOff>
    </xdr:from>
    <xdr:to>
      <xdr:col>0</xdr:col>
      <xdr:colOff>790575</xdr:colOff>
      <xdr:row>96</xdr:row>
      <xdr:rowOff>742882</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6641425"/>
          <a:ext cx="771525" cy="723832"/>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85025</xdr:colOff>
      <xdr:row>31</xdr:row>
      <xdr:rowOff>0</xdr:rowOff>
    </xdr:from>
    <xdr:to>
      <xdr:col>11</xdr:col>
      <xdr:colOff>754855</xdr:colOff>
      <xdr:row>31</xdr:row>
      <xdr:rowOff>704850</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780350" y="9639300"/>
          <a:ext cx="10756805" cy="704850"/>
          <a:chOff x="780350" y="0"/>
          <a:chExt cx="10756805" cy="704850"/>
        </a:xfrm>
      </xdr:grpSpPr>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15" name="Elbow Connector 14">
            <a:extLst>
              <a:ext uri="{FF2B5EF4-FFF2-40B4-BE49-F238E27FC236}">
                <a16:creationId xmlns:a16="http://schemas.microsoft.com/office/drawing/2014/main" id="{00000000-0008-0000-0400-00000F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6" name="Elbow Connector 15">
            <a:extLst>
              <a:ext uri="{FF2B5EF4-FFF2-40B4-BE49-F238E27FC236}">
                <a16:creationId xmlns:a16="http://schemas.microsoft.com/office/drawing/2014/main" id="{00000000-0008-0000-0400-000010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1</xdr:col>
      <xdr:colOff>95250</xdr:colOff>
      <xdr:row>31</xdr:row>
      <xdr:rowOff>742882</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658350"/>
          <a:ext cx="771525" cy="723832"/>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780351</xdr:colOff>
      <xdr:row>8</xdr:row>
      <xdr:rowOff>0</xdr:rowOff>
    </xdr:from>
    <xdr:to>
      <xdr:col>1</xdr:col>
      <xdr:colOff>4927473</xdr:colOff>
      <xdr:row>8</xdr:row>
      <xdr:rowOff>704850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780351" y="2390775"/>
          <a:ext cx="6461697" cy="704850"/>
          <a:chOff x="800100" y="19050"/>
          <a:chExt cx="6467475" cy="704850"/>
        </a:xfrm>
      </xdr:grpSpPr>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6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6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8</xdr:row>
      <xdr:rowOff>19050</xdr:rowOff>
    </xdr:from>
    <xdr:to>
      <xdr:col>0</xdr:col>
      <xdr:colOff>790575</xdr:colOff>
      <xdr:row>8</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525" cy="723832"/>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782322</xdr:colOff>
      <xdr:row>3</xdr:row>
      <xdr:rowOff>247649</xdr:rowOff>
    </xdr:from>
    <xdr:to>
      <xdr:col>4</xdr:col>
      <xdr:colOff>1535811</xdr:colOff>
      <xdr:row>4</xdr:row>
      <xdr:rowOff>730561</xdr:rowOff>
    </xdr:to>
    <xdr:grpSp>
      <xdr:nvGrpSpPr>
        <xdr:cNvPr id="27" name="Group 26">
          <a:extLst>
            <a:ext uri="{FF2B5EF4-FFF2-40B4-BE49-F238E27FC236}">
              <a16:creationId xmlns:a16="http://schemas.microsoft.com/office/drawing/2014/main" id="{00000000-0008-0000-0700-00001B000000}"/>
            </a:ext>
          </a:extLst>
        </xdr:cNvPr>
        <xdr:cNvGrpSpPr/>
      </xdr:nvGrpSpPr>
      <xdr:grpSpPr>
        <a:xfrm>
          <a:off x="782322" y="1590674"/>
          <a:ext cx="6478014" cy="730562"/>
          <a:chOff x="800100" y="19050"/>
          <a:chExt cx="6467475" cy="704850"/>
        </a:xfrm>
      </xdr:grpSpPr>
      <xdr:sp macro="" textlink="">
        <xdr:nvSpPr>
          <xdr:cNvPr id="29" name="TextBox 28">
            <a:extLst>
              <a:ext uri="{FF2B5EF4-FFF2-40B4-BE49-F238E27FC236}">
                <a16:creationId xmlns:a16="http://schemas.microsoft.com/office/drawing/2014/main" id="{00000000-0008-0000-0700-00001D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30" name="Elbow Connector 29">
            <a:extLst>
              <a:ext uri="{FF2B5EF4-FFF2-40B4-BE49-F238E27FC236}">
                <a16:creationId xmlns:a16="http://schemas.microsoft.com/office/drawing/2014/main" id="{00000000-0008-0000-0700-00001E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1" name="Elbow Connector 30">
            <a:extLst>
              <a:ext uri="{FF2B5EF4-FFF2-40B4-BE49-F238E27FC236}">
                <a16:creationId xmlns:a16="http://schemas.microsoft.com/office/drawing/2014/main" id="{00000000-0008-0000-0700-00001F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4</xdr:row>
      <xdr:rowOff>19050</xdr:rowOff>
    </xdr:from>
    <xdr:to>
      <xdr:col>0</xdr:col>
      <xdr:colOff>790575</xdr:colOff>
      <xdr:row>4</xdr:row>
      <xdr:rowOff>742882</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609725"/>
          <a:ext cx="771525" cy="723832"/>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822103</xdr:colOff>
      <xdr:row>5</xdr:row>
      <xdr:rowOff>0</xdr:rowOff>
    </xdr:from>
    <xdr:to>
      <xdr:col>6</xdr:col>
      <xdr:colOff>1066800</xdr:colOff>
      <xdr:row>5</xdr:row>
      <xdr:rowOff>704850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822103" y="2028825"/>
          <a:ext cx="6807422" cy="704850"/>
          <a:chOff x="800100" y="19050"/>
          <a:chExt cx="6467475" cy="704850"/>
        </a:xfrm>
      </xdr:grpSpPr>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8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8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5</xdr:row>
      <xdr:rowOff>19050</xdr:rowOff>
    </xdr:from>
    <xdr:to>
      <xdr:col>0</xdr:col>
      <xdr:colOff>790575</xdr:colOff>
      <xdr:row>5</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47875"/>
          <a:ext cx="771525" cy="723832"/>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90226</xdr:colOff>
      <xdr:row>38</xdr:row>
      <xdr:rowOff>0</xdr:rowOff>
    </xdr:from>
    <xdr:to>
      <xdr:col>14</xdr:col>
      <xdr:colOff>687706</xdr:colOff>
      <xdr:row>38</xdr:row>
      <xdr:rowOff>704850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756976" y="13763625"/>
          <a:ext cx="11084505" cy="704850"/>
          <a:chOff x="732498" y="12534900"/>
          <a:chExt cx="10726077" cy="704850"/>
        </a:xfrm>
      </xdr:grpSpPr>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Physical Plant</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9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9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38</xdr:row>
      <xdr:rowOff>19050</xdr:rowOff>
    </xdr:from>
    <xdr:to>
      <xdr:col>1</xdr:col>
      <xdr:colOff>123825</xdr:colOff>
      <xdr:row>38</xdr:row>
      <xdr:rowOff>742882</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3782675"/>
          <a:ext cx="771525" cy="723832"/>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6.xml"/><Relationship Id="rId13" Type="http://schemas.openxmlformats.org/officeDocument/2006/relationships/ctrlProp" Target="../ctrlProps/ctrlProp131.xml"/><Relationship Id="rId3" Type="http://schemas.openxmlformats.org/officeDocument/2006/relationships/vmlDrawing" Target="../drawings/vmlDrawing5.vml"/><Relationship Id="rId7" Type="http://schemas.openxmlformats.org/officeDocument/2006/relationships/ctrlProp" Target="../ctrlProps/ctrlProp125.xml"/><Relationship Id="rId12" Type="http://schemas.openxmlformats.org/officeDocument/2006/relationships/ctrlProp" Target="../ctrlProps/ctrlProp130.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124.xml"/><Relationship Id="rId11" Type="http://schemas.openxmlformats.org/officeDocument/2006/relationships/ctrlProp" Target="../ctrlProps/ctrlProp129.xml"/><Relationship Id="rId5" Type="http://schemas.openxmlformats.org/officeDocument/2006/relationships/ctrlProp" Target="../ctrlProps/ctrlProp123.xml"/><Relationship Id="rId15" Type="http://schemas.openxmlformats.org/officeDocument/2006/relationships/ctrlProp" Target="../ctrlProps/ctrlProp133.xml"/><Relationship Id="rId10" Type="http://schemas.openxmlformats.org/officeDocument/2006/relationships/ctrlProp" Target="../ctrlProps/ctrlProp128.xml"/><Relationship Id="rId4" Type="http://schemas.openxmlformats.org/officeDocument/2006/relationships/ctrlProp" Target="../ctrlProps/ctrlProp122.xml"/><Relationship Id="rId9" Type="http://schemas.openxmlformats.org/officeDocument/2006/relationships/ctrlProp" Target="../ctrlProps/ctrlProp127.xml"/><Relationship Id="rId14" Type="http://schemas.openxmlformats.org/officeDocument/2006/relationships/ctrlProp" Target="../ctrlProps/ctrlProp13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37.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136.xml"/><Relationship Id="rId5" Type="http://schemas.openxmlformats.org/officeDocument/2006/relationships/ctrlProp" Target="../ctrlProps/ctrlProp135.xml"/><Relationship Id="rId4" Type="http://schemas.openxmlformats.org/officeDocument/2006/relationships/ctrlProp" Target="../ctrlProps/ctrlProp13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26" Type="http://schemas.openxmlformats.org/officeDocument/2006/relationships/ctrlProp" Target="../ctrlProps/ctrlProp38.xml"/><Relationship Id="rId39" Type="http://schemas.openxmlformats.org/officeDocument/2006/relationships/ctrlProp" Target="../ctrlProps/ctrlProp51.xml"/><Relationship Id="rId3" Type="http://schemas.openxmlformats.org/officeDocument/2006/relationships/drawing" Target="../drawings/drawing2.xml"/><Relationship Id="rId21" Type="http://schemas.openxmlformats.org/officeDocument/2006/relationships/ctrlProp" Target="../ctrlProps/ctrlProp33.xml"/><Relationship Id="rId34" Type="http://schemas.openxmlformats.org/officeDocument/2006/relationships/ctrlProp" Target="../ctrlProps/ctrlProp46.xml"/><Relationship Id="rId42" Type="http://schemas.openxmlformats.org/officeDocument/2006/relationships/ctrlProp" Target="../ctrlProps/ctrlProp54.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5" Type="http://schemas.openxmlformats.org/officeDocument/2006/relationships/ctrlProp" Target="../ctrlProps/ctrlProp37.xml"/><Relationship Id="rId33" Type="http://schemas.openxmlformats.org/officeDocument/2006/relationships/ctrlProp" Target="../ctrlProps/ctrlProp45.xml"/><Relationship Id="rId38" Type="http://schemas.openxmlformats.org/officeDocument/2006/relationships/ctrlProp" Target="../ctrlProps/ctrlProp50.xml"/><Relationship Id="rId2" Type="http://schemas.openxmlformats.org/officeDocument/2006/relationships/printerSettings" Target="../printerSettings/printerSettings2.bin"/><Relationship Id="rId16" Type="http://schemas.openxmlformats.org/officeDocument/2006/relationships/ctrlProp" Target="../ctrlProps/ctrlProp28.xml"/><Relationship Id="rId20" Type="http://schemas.openxmlformats.org/officeDocument/2006/relationships/ctrlProp" Target="../ctrlProps/ctrlProp32.xml"/><Relationship Id="rId29" Type="http://schemas.openxmlformats.org/officeDocument/2006/relationships/ctrlProp" Target="../ctrlProps/ctrlProp41.xml"/><Relationship Id="rId41" Type="http://schemas.openxmlformats.org/officeDocument/2006/relationships/ctrlProp" Target="../ctrlProps/ctrlProp53.xml"/><Relationship Id="rId1" Type="http://schemas.openxmlformats.org/officeDocument/2006/relationships/hyperlink" Target="http://www.census.gov/eos/www/naics/" TargetMode="External"/><Relationship Id="rId6" Type="http://schemas.openxmlformats.org/officeDocument/2006/relationships/ctrlProp" Target="../ctrlProps/ctrlProp18.xml"/><Relationship Id="rId11" Type="http://schemas.openxmlformats.org/officeDocument/2006/relationships/ctrlProp" Target="../ctrlProps/ctrlProp23.xml"/><Relationship Id="rId24" Type="http://schemas.openxmlformats.org/officeDocument/2006/relationships/ctrlProp" Target="../ctrlProps/ctrlProp36.xml"/><Relationship Id="rId32" Type="http://schemas.openxmlformats.org/officeDocument/2006/relationships/ctrlProp" Target="../ctrlProps/ctrlProp44.xml"/><Relationship Id="rId37" Type="http://schemas.openxmlformats.org/officeDocument/2006/relationships/ctrlProp" Target="../ctrlProps/ctrlProp49.xml"/><Relationship Id="rId40" Type="http://schemas.openxmlformats.org/officeDocument/2006/relationships/ctrlProp" Target="../ctrlProps/ctrlProp52.xml"/><Relationship Id="rId5" Type="http://schemas.openxmlformats.org/officeDocument/2006/relationships/ctrlProp" Target="../ctrlProps/ctrlProp17.xml"/><Relationship Id="rId15" Type="http://schemas.openxmlformats.org/officeDocument/2006/relationships/ctrlProp" Target="../ctrlProps/ctrlProp27.xml"/><Relationship Id="rId23" Type="http://schemas.openxmlformats.org/officeDocument/2006/relationships/ctrlProp" Target="../ctrlProps/ctrlProp35.xml"/><Relationship Id="rId28" Type="http://schemas.openxmlformats.org/officeDocument/2006/relationships/ctrlProp" Target="../ctrlProps/ctrlProp40.xml"/><Relationship Id="rId36" Type="http://schemas.openxmlformats.org/officeDocument/2006/relationships/ctrlProp" Target="../ctrlProps/ctrlProp48.xml"/><Relationship Id="rId10" Type="http://schemas.openxmlformats.org/officeDocument/2006/relationships/ctrlProp" Target="../ctrlProps/ctrlProp22.xml"/><Relationship Id="rId19" Type="http://schemas.openxmlformats.org/officeDocument/2006/relationships/ctrlProp" Target="../ctrlProps/ctrlProp31.xml"/><Relationship Id="rId31" Type="http://schemas.openxmlformats.org/officeDocument/2006/relationships/ctrlProp" Target="../ctrlProps/ctrlProp43.xml"/><Relationship Id="rId4" Type="http://schemas.openxmlformats.org/officeDocument/2006/relationships/vmlDrawing" Target="../drawings/vmlDrawing2.vml"/><Relationship Id="rId9" Type="http://schemas.openxmlformats.org/officeDocument/2006/relationships/ctrlProp" Target="../ctrlProps/ctrlProp21.xml"/><Relationship Id="rId14" Type="http://schemas.openxmlformats.org/officeDocument/2006/relationships/ctrlProp" Target="../ctrlProps/ctrlProp26.xml"/><Relationship Id="rId22" Type="http://schemas.openxmlformats.org/officeDocument/2006/relationships/ctrlProp" Target="../ctrlProps/ctrlProp34.xml"/><Relationship Id="rId27" Type="http://schemas.openxmlformats.org/officeDocument/2006/relationships/ctrlProp" Target="../ctrlProps/ctrlProp39.xml"/><Relationship Id="rId30" Type="http://schemas.openxmlformats.org/officeDocument/2006/relationships/ctrlProp" Target="../ctrlProps/ctrlProp42.xml"/><Relationship Id="rId35" Type="http://schemas.openxmlformats.org/officeDocument/2006/relationships/ctrlProp" Target="../ctrlProps/ctrlProp4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40.xml"/><Relationship Id="rId13" Type="http://schemas.openxmlformats.org/officeDocument/2006/relationships/ctrlProp" Target="../ctrlProps/ctrlProp145.xml"/><Relationship Id="rId18" Type="http://schemas.openxmlformats.org/officeDocument/2006/relationships/ctrlProp" Target="../ctrlProps/ctrlProp150.xml"/><Relationship Id="rId26" Type="http://schemas.openxmlformats.org/officeDocument/2006/relationships/ctrlProp" Target="../ctrlProps/ctrlProp158.xml"/><Relationship Id="rId3" Type="http://schemas.openxmlformats.org/officeDocument/2006/relationships/printerSettings" Target="../printerSettings/printerSettings21.bin"/><Relationship Id="rId21" Type="http://schemas.openxmlformats.org/officeDocument/2006/relationships/ctrlProp" Target="../ctrlProps/ctrlProp153.xml"/><Relationship Id="rId34" Type="http://schemas.openxmlformats.org/officeDocument/2006/relationships/ctrlProp" Target="../ctrlProps/ctrlProp166.xml"/><Relationship Id="rId7" Type="http://schemas.openxmlformats.org/officeDocument/2006/relationships/ctrlProp" Target="../ctrlProps/ctrlProp139.xml"/><Relationship Id="rId12" Type="http://schemas.openxmlformats.org/officeDocument/2006/relationships/ctrlProp" Target="../ctrlProps/ctrlProp144.xml"/><Relationship Id="rId17" Type="http://schemas.openxmlformats.org/officeDocument/2006/relationships/ctrlProp" Target="../ctrlProps/ctrlProp149.xml"/><Relationship Id="rId25" Type="http://schemas.openxmlformats.org/officeDocument/2006/relationships/ctrlProp" Target="../ctrlProps/ctrlProp157.xml"/><Relationship Id="rId33" Type="http://schemas.openxmlformats.org/officeDocument/2006/relationships/ctrlProp" Target="../ctrlProps/ctrlProp165.xml"/><Relationship Id="rId2" Type="http://schemas.openxmlformats.org/officeDocument/2006/relationships/hyperlink" Target="http://www.ecfr.gov/cgi-bin/text-idx?SID=7b552cbdc55eaecff28257405e00005e&amp;tpl=/ecfrbrowse/Title40/40tab_02.tpl" TargetMode="External"/><Relationship Id="rId16" Type="http://schemas.openxmlformats.org/officeDocument/2006/relationships/ctrlProp" Target="../ctrlProps/ctrlProp148.xml"/><Relationship Id="rId20" Type="http://schemas.openxmlformats.org/officeDocument/2006/relationships/ctrlProp" Target="../ctrlProps/ctrlProp152.xml"/><Relationship Id="rId29" Type="http://schemas.openxmlformats.org/officeDocument/2006/relationships/ctrlProp" Target="../ctrlProps/ctrlProp161.xml"/><Relationship Id="rId1" Type="http://schemas.openxmlformats.org/officeDocument/2006/relationships/hyperlink" Target="http://www.lincoln.ne.gov/city/health/environ/air/regulations.htm" TargetMode="External"/><Relationship Id="rId6" Type="http://schemas.openxmlformats.org/officeDocument/2006/relationships/ctrlProp" Target="../ctrlProps/ctrlProp138.xml"/><Relationship Id="rId11" Type="http://schemas.openxmlformats.org/officeDocument/2006/relationships/ctrlProp" Target="../ctrlProps/ctrlProp143.xml"/><Relationship Id="rId24" Type="http://schemas.openxmlformats.org/officeDocument/2006/relationships/ctrlProp" Target="../ctrlProps/ctrlProp156.xml"/><Relationship Id="rId32" Type="http://schemas.openxmlformats.org/officeDocument/2006/relationships/ctrlProp" Target="../ctrlProps/ctrlProp164.xml"/><Relationship Id="rId5" Type="http://schemas.openxmlformats.org/officeDocument/2006/relationships/vmlDrawing" Target="../drawings/vmlDrawing7.vml"/><Relationship Id="rId15" Type="http://schemas.openxmlformats.org/officeDocument/2006/relationships/ctrlProp" Target="../ctrlProps/ctrlProp147.xml"/><Relationship Id="rId23" Type="http://schemas.openxmlformats.org/officeDocument/2006/relationships/ctrlProp" Target="../ctrlProps/ctrlProp155.xml"/><Relationship Id="rId28" Type="http://schemas.openxmlformats.org/officeDocument/2006/relationships/ctrlProp" Target="../ctrlProps/ctrlProp160.xml"/><Relationship Id="rId10" Type="http://schemas.openxmlformats.org/officeDocument/2006/relationships/ctrlProp" Target="../ctrlProps/ctrlProp142.xml"/><Relationship Id="rId19" Type="http://schemas.openxmlformats.org/officeDocument/2006/relationships/ctrlProp" Target="../ctrlProps/ctrlProp151.xml"/><Relationship Id="rId31" Type="http://schemas.openxmlformats.org/officeDocument/2006/relationships/ctrlProp" Target="../ctrlProps/ctrlProp163.xml"/><Relationship Id="rId4" Type="http://schemas.openxmlformats.org/officeDocument/2006/relationships/drawing" Target="../drawings/drawing20.xml"/><Relationship Id="rId9" Type="http://schemas.openxmlformats.org/officeDocument/2006/relationships/ctrlProp" Target="../ctrlProps/ctrlProp141.xml"/><Relationship Id="rId14" Type="http://schemas.openxmlformats.org/officeDocument/2006/relationships/ctrlProp" Target="../ctrlProps/ctrlProp146.xml"/><Relationship Id="rId22" Type="http://schemas.openxmlformats.org/officeDocument/2006/relationships/ctrlProp" Target="../ctrlProps/ctrlProp154.xml"/><Relationship Id="rId27" Type="http://schemas.openxmlformats.org/officeDocument/2006/relationships/ctrlProp" Target="../ctrlProps/ctrlProp159.xml"/><Relationship Id="rId30" Type="http://schemas.openxmlformats.org/officeDocument/2006/relationships/ctrlProp" Target="../ctrlProps/ctrlProp162.xml"/><Relationship Id="rId35" Type="http://schemas.openxmlformats.org/officeDocument/2006/relationships/ctrlProp" Target="../ctrlProps/ctrlProp16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1.xml"/><Relationship Id="rId1" Type="http://schemas.openxmlformats.org/officeDocument/2006/relationships/printerSettings" Target="../printerSettings/printerSettings22.bin"/><Relationship Id="rId5" Type="http://schemas.openxmlformats.org/officeDocument/2006/relationships/ctrlProp" Target="../ctrlProps/ctrlProp169.xml"/><Relationship Id="rId4" Type="http://schemas.openxmlformats.org/officeDocument/2006/relationships/ctrlProp" Target="../ctrlProps/ctrlProp16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179.xml"/><Relationship Id="rId18" Type="http://schemas.openxmlformats.org/officeDocument/2006/relationships/ctrlProp" Target="../ctrlProps/ctrlProp184.xml"/><Relationship Id="rId26" Type="http://schemas.openxmlformats.org/officeDocument/2006/relationships/ctrlProp" Target="../ctrlProps/ctrlProp192.xml"/><Relationship Id="rId39" Type="http://schemas.openxmlformats.org/officeDocument/2006/relationships/ctrlProp" Target="../ctrlProps/ctrlProp205.xml"/><Relationship Id="rId3" Type="http://schemas.openxmlformats.org/officeDocument/2006/relationships/vmlDrawing" Target="../drawings/vmlDrawing9.vml"/><Relationship Id="rId21" Type="http://schemas.openxmlformats.org/officeDocument/2006/relationships/ctrlProp" Target="../ctrlProps/ctrlProp187.xml"/><Relationship Id="rId34" Type="http://schemas.openxmlformats.org/officeDocument/2006/relationships/ctrlProp" Target="../ctrlProps/ctrlProp200.xml"/><Relationship Id="rId42" Type="http://schemas.openxmlformats.org/officeDocument/2006/relationships/ctrlProp" Target="../ctrlProps/ctrlProp208.xml"/><Relationship Id="rId47" Type="http://schemas.openxmlformats.org/officeDocument/2006/relationships/ctrlProp" Target="../ctrlProps/ctrlProp213.xml"/><Relationship Id="rId50" Type="http://schemas.openxmlformats.org/officeDocument/2006/relationships/ctrlProp" Target="../ctrlProps/ctrlProp216.xml"/><Relationship Id="rId7" Type="http://schemas.openxmlformats.org/officeDocument/2006/relationships/ctrlProp" Target="../ctrlProps/ctrlProp173.xml"/><Relationship Id="rId12" Type="http://schemas.openxmlformats.org/officeDocument/2006/relationships/ctrlProp" Target="../ctrlProps/ctrlProp178.xml"/><Relationship Id="rId17" Type="http://schemas.openxmlformats.org/officeDocument/2006/relationships/ctrlProp" Target="../ctrlProps/ctrlProp183.xml"/><Relationship Id="rId25" Type="http://schemas.openxmlformats.org/officeDocument/2006/relationships/ctrlProp" Target="../ctrlProps/ctrlProp191.xml"/><Relationship Id="rId33" Type="http://schemas.openxmlformats.org/officeDocument/2006/relationships/ctrlProp" Target="../ctrlProps/ctrlProp199.xml"/><Relationship Id="rId38" Type="http://schemas.openxmlformats.org/officeDocument/2006/relationships/ctrlProp" Target="../ctrlProps/ctrlProp204.xml"/><Relationship Id="rId46" Type="http://schemas.openxmlformats.org/officeDocument/2006/relationships/ctrlProp" Target="../ctrlProps/ctrlProp212.xml"/><Relationship Id="rId2" Type="http://schemas.openxmlformats.org/officeDocument/2006/relationships/drawing" Target="../drawings/drawing23.xml"/><Relationship Id="rId16" Type="http://schemas.openxmlformats.org/officeDocument/2006/relationships/ctrlProp" Target="../ctrlProps/ctrlProp182.xml"/><Relationship Id="rId20" Type="http://schemas.openxmlformats.org/officeDocument/2006/relationships/ctrlProp" Target="../ctrlProps/ctrlProp186.xml"/><Relationship Id="rId29" Type="http://schemas.openxmlformats.org/officeDocument/2006/relationships/ctrlProp" Target="../ctrlProps/ctrlProp195.xml"/><Relationship Id="rId41" Type="http://schemas.openxmlformats.org/officeDocument/2006/relationships/ctrlProp" Target="../ctrlProps/ctrlProp207.xml"/><Relationship Id="rId1" Type="http://schemas.openxmlformats.org/officeDocument/2006/relationships/printerSettings" Target="../printerSettings/printerSettings24.bin"/><Relationship Id="rId6" Type="http://schemas.openxmlformats.org/officeDocument/2006/relationships/ctrlProp" Target="../ctrlProps/ctrlProp172.xml"/><Relationship Id="rId11" Type="http://schemas.openxmlformats.org/officeDocument/2006/relationships/ctrlProp" Target="../ctrlProps/ctrlProp177.xml"/><Relationship Id="rId24" Type="http://schemas.openxmlformats.org/officeDocument/2006/relationships/ctrlProp" Target="../ctrlProps/ctrlProp190.xml"/><Relationship Id="rId32" Type="http://schemas.openxmlformats.org/officeDocument/2006/relationships/ctrlProp" Target="../ctrlProps/ctrlProp198.xml"/><Relationship Id="rId37" Type="http://schemas.openxmlformats.org/officeDocument/2006/relationships/ctrlProp" Target="../ctrlProps/ctrlProp203.xml"/><Relationship Id="rId40" Type="http://schemas.openxmlformats.org/officeDocument/2006/relationships/ctrlProp" Target="../ctrlProps/ctrlProp206.xml"/><Relationship Id="rId45" Type="http://schemas.openxmlformats.org/officeDocument/2006/relationships/ctrlProp" Target="../ctrlProps/ctrlProp211.xml"/><Relationship Id="rId5" Type="http://schemas.openxmlformats.org/officeDocument/2006/relationships/ctrlProp" Target="../ctrlProps/ctrlProp171.xml"/><Relationship Id="rId15" Type="http://schemas.openxmlformats.org/officeDocument/2006/relationships/ctrlProp" Target="../ctrlProps/ctrlProp181.xml"/><Relationship Id="rId23" Type="http://schemas.openxmlformats.org/officeDocument/2006/relationships/ctrlProp" Target="../ctrlProps/ctrlProp189.xml"/><Relationship Id="rId28" Type="http://schemas.openxmlformats.org/officeDocument/2006/relationships/ctrlProp" Target="../ctrlProps/ctrlProp194.xml"/><Relationship Id="rId36" Type="http://schemas.openxmlformats.org/officeDocument/2006/relationships/ctrlProp" Target="../ctrlProps/ctrlProp202.xml"/><Relationship Id="rId49" Type="http://schemas.openxmlformats.org/officeDocument/2006/relationships/ctrlProp" Target="../ctrlProps/ctrlProp215.xml"/><Relationship Id="rId10" Type="http://schemas.openxmlformats.org/officeDocument/2006/relationships/ctrlProp" Target="../ctrlProps/ctrlProp176.xml"/><Relationship Id="rId19" Type="http://schemas.openxmlformats.org/officeDocument/2006/relationships/ctrlProp" Target="../ctrlProps/ctrlProp185.xml"/><Relationship Id="rId31" Type="http://schemas.openxmlformats.org/officeDocument/2006/relationships/ctrlProp" Target="../ctrlProps/ctrlProp197.xml"/><Relationship Id="rId44" Type="http://schemas.openxmlformats.org/officeDocument/2006/relationships/ctrlProp" Target="../ctrlProps/ctrlProp210.xml"/><Relationship Id="rId4" Type="http://schemas.openxmlformats.org/officeDocument/2006/relationships/ctrlProp" Target="../ctrlProps/ctrlProp170.xml"/><Relationship Id="rId9" Type="http://schemas.openxmlformats.org/officeDocument/2006/relationships/ctrlProp" Target="../ctrlProps/ctrlProp175.xml"/><Relationship Id="rId14" Type="http://schemas.openxmlformats.org/officeDocument/2006/relationships/ctrlProp" Target="../ctrlProps/ctrlProp180.xml"/><Relationship Id="rId22" Type="http://schemas.openxmlformats.org/officeDocument/2006/relationships/ctrlProp" Target="../ctrlProps/ctrlProp188.xml"/><Relationship Id="rId27" Type="http://schemas.openxmlformats.org/officeDocument/2006/relationships/ctrlProp" Target="../ctrlProps/ctrlProp193.xml"/><Relationship Id="rId30" Type="http://schemas.openxmlformats.org/officeDocument/2006/relationships/ctrlProp" Target="../ctrlProps/ctrlProp196.xml"/><Relationship Id="rId35" Type="http://schemas.openxmlformats.org/officeDocument/2006/relationships/ctrlProp" Target="../ctrlProps/ctrlProp201.xml"/><Relationship Id="rId43" Type="http://schemas.openxmlformats.org/officeDocument/2006/relationships/ctrlProp" Target="../ctrlProps/ctrlProp209.xml"/><Relationship Id="rId48" Type="http://schemas.openxmlformats.org/officeDocument/2006/relationships/ctrlProp" Target="../ctrlProps/ctrlProp214.xml"/><Relationship Id="rId8" Type="http://schemas.openxmlformats.org/officeDocument/2006/relationships/ctrlProp" Target="../ctrlProps/ctrlProp174.xml"/><Relationship Id="rId51" Type="http://schemas.openxmlformats.org/officeDocument/2006/relationships/ctrlProp" Target="../ctrlProps/ctrlProp217.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vmlDrawing" Target="../drawings/vmlDrawing3.vml"/><Relationship Id="rId21" Type="http://schemas.openxmlformats.org/officeDocument/2006/relationships/ctrlProp" Target="../ctrlProps/ctrlProp72.xml"/><Relationship Id="rId34" Type="http://schemas.openxmlformats.org/officeDocument/2006/relationships/ctrlProp" Target="../ctrlProps/ctrlProp85.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2" Type="http://schemas.openxmlformats.org/officeDocument/2006/relationships/drawing" Target="../drawings/drawing3.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1" Type="http://schemas.openxmlformats.org/officeDocument/2006/relationships/printerSettings" Target="../printerSettings/printerSettings3.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26" Type="http://schemas.openxmlformats.org/officeDocument/2006/relationships/ctrlProp" Target="../ctrlProps/ctrlProp111.xml"/><Relationship Id="rId3" Type="http://schemas.openxmlformats.org/officeDocument/2006/relationships/vmlDrawing" Target="../drawings/vmlDrawing4.vml"/><Relationship Id="rId21" Type="http://schemas.openxmlformats.org/officeDocument/2006/relationships/ctrlProp" Target="../ctrlProps/ctrlProp106.xml"/><Relationship Id="rId34" Type="http://schemas.openxmlformats.org/officeDocument/2006/relationships/ctrlProp" Target="../ctrlProps/ctrlProp119.x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5" Type="http://schemas.openxmlformats.org/officeDocument/2006/relationships/ctrlProp" Target="../ctrlProps/ctrlProp110.xml"/><Relationship Id="rId33" Type="http://schemas.openxmlformats.org/officeDocument/2006/relationships/ctrlProp" Target="../ctrlProps/ctrlProp118.xml"/><Relationship Id="rId2" Type="http://schemas.openxmlformats.org/officeDocument/2006/relationships/drawing" Target="../drawings/drawing4.xml"/><Relationship Id="rId16" Type="http://schemas.openxmlformats.org/officeDocument/2006/relationships/ctrlProp" Target="../ctrlProps/ctrlProp101.xml"/><Relationship Id="rId20" Type="http://schemas.openxmlformats.org/officeDocument/2006/relationships/ctrlProp" Target="../ctrlProps/ctrlProp105.xml"/><Relationship Id="rId29" Type="http://schemas.openxmlformats.org/officeDocument/2006/relationships/ctrlProp" Target="../ctrlProps/ctrlProp114.xml"/><Relationship Id="rId1" Type="http://schemas.openxmlformats.org/officeDocument/2006/relationships/printerSettings" Target="../printerSettings/printerSettings4.bin"/><Relationship Id="rId6" Type="http://schemas.openxmlformats.org/officeDocument/2006/relationships/ctrlProp" Target="../ctrlProps/ctrlProp91.xml"/><Relationship Id="rId11" Type="http://schemas.openxmlformats.org/officeDocument/2006/relationships/ctrlProp" Target="../ctrlProps/ctrlProp96.xml"/><Relationship Id="rId24" Type="http://schemas.openxmlformats.org/officeDocument/2006/relationships/ctrlProp" Target="../ctrlProps/ctrlProp109.xml"/><Relationship Id="rId32" Type="http://schemas.openxmlformats.org/officeDocument/2006/relationships/ctrlProp" Target="../ctrlProps/ctrlProp117.xml"/><Relationship Id="rId5" Type="http://schemas.openxmlformats.org/officeDocument/2006/relationships/ctrlProp" Target="../ctrlProps/ctrlProp90.xml"/><Relationship Id="rId15" Type="http://schemas.openxmlformats.org/officeDocument/2006/relationships/ctrlProp" Target="../ctrlProps/ctrlProp100.xml"/><Relationship Id="rId23" Type="http://schemas.openxmlformats.org/officeDocument/2006/relationships/ctrlProp" Target="../ctrlProps/ctrlProp108.xml"/><Relationship Id="rId28" Type="http://schemas.openxmlformats.org/officeDocument/2006/relationships/ctrlProp" Target="../ctrlProps/ctrlProp113.xml"/><Relationship Id="rId36" Type="http://schemas.openxmlformats.org/officeDocument/2006/relationships/ctrlProp" Target="../ctrlProps/ctrlProp121.xml"/><Relationship Id="rId10" Type="http://schemas.openxmlformats.org/officeDocument/2006/relationships/ctrlProp" Target="../ctrlProps/ctrlProp95.xml"/><Relationship Id="rId19" Type="http://schemas.openxmlformats.org/officeDocument/2006/relationships/ctrlProp" Target="../ctrlProps/ctrlProp104.xml"/><Relationship Id="rId31" Type="http://schemas.openxmlformats.org/officeDocument/2006/relationships/ctrlProp" Target="../ctrlProps/ctrlProp116.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 Id="rId22" Type="http://schemas.openxmlformats.org/officeDocument/2006/relationships/ctrlProp" Target="../ctrlProps/ctrlProp107.xml"/><Relationship Id="rId27" Type="http://schemas.openxmlformats.org/officeDocument/2006/relationships/ctrlProp" Target="../ctrlProps/ctrlProp112.xml"/><Relationship Id="rId30" Type="http://schemas.openxmlformats.org/officeDocument/2006/relationships/ctrlProp" Target="../ctrlProps/ctrlProp115.xml"/><Relationship Id="rId35" Type="http://schemas.openxmlformats.org/officeDocument/2006/relationships/ctrlProp" Target="../ctrlProps/ctrlProp120.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rgb="FFC00000"/>
    <pageSetUpPr fitToPage="1"/>
  </sheetPr>
  <dimension ref="B1:AB71"/>
  <sheetViews>
    <sheetView tabSelected="1" zoomScaleNormal="100" workbookViewId="0"/>
  </sheetViews>
  <sheetFormatPr defaultColWidth="9.140625" defaultRowHeight="15" x14ac:dyDescent="0.25"/>
  <cols>
    <col min="1" max="1" width="3" style="68" customWidth="1"/>
    <col min="2" max="11" width="9.140625" style="68" customWidth="1"/>
    <col min="12" max="16384" width="9.140625" style="68"/>
  </cols>
  <sheetData>
    <row r="1" spans="2:28" ht="15.75" thickBot="1" x14ac:dyDescent="0.3"/>
    <row r="2" spans="2:28" ht="24.95" customHeight="1" thickBot="1" x14ac:dyDescent="0.3">
      <c r="B2" s="885" t="s">
        <v>2156</v>
      </c>
      <c r="C2" s="886"/>
      <c r="D2" s="886"/>
      <c r="E2" s="886"/>
      <c r="F2" s="886"/>
      <c r="G2" s="886"/>
      <c r="H2" s="886"/>
      <c r="I2" s="886"/>
      <c r="J2" s="886"/>
      <c r="K2" s="887"/>
      <c r="M2" s="876" t="s">
        <v>2386</v>
      </c>
      <c r="N2" s="877"/>
      <c r="O2" s="878"/>
    </row>
    <row r="3" spans="2:28" ht="20.100000000000001" customHeight="1" thickBot="1" x14ac:dyDescent="0.3">
      <c r="B3" s="882" t="s">
        <v>1415</v>
      </c>
      <c r="C3" s="883"/>
      <c r="D3" s="883"/>
      <c r="E3" s="883"/>
      <c r="F3" s="883"/>
      <c r="G3" s="883"/>
      <c r="H3" s="883"/>
      <c r="I3" s="883"/>
      <c r="J3" s="883"/>
      <c r="K3" s="884"/>
      <c r="M3" s="879">
        <v>45664</v>
      </c>
      <c r="N3" s="880"/>
      <c r="O3" s="881"/>
      <c r="P3" s="546"/>
      <c r="Q3" s="546"/>
      <c r="R3" s="546"/>
      <c r="S3" s="546"/>
      <c r="T3" s="546"/>
      <c r="U3" s="546"/>
      <c r="V3" s="546"/>
      <c r="W3" s="546"/>
      <c r="X3" s="546"/>
      <c r="Y3" s="546"/>
      <c r="Z3" s="546"/>
      <c r="AA3" s="546"/>
      <c r="AB3" s="546"/>
    </row>
    <row r="4" spans="2:28" x14ac:dyDescent="0.25">
      <c r="B4" s="87"/>
      <c r="C4" s="88"/>
      <c r="D4" s="88"/>
      <c r="E4" s="88"/>
      <c r="F4" s="88"/>
      <c r="G4" s="88"/>
      <c r="H4" s="88"/>
      <c r="I4" s="88"/>
      <c r="J4" s="88"/>
      <c r="K4" s="89"/>
      <c r="M4" s="546"/>
      <c r="N4" s="546"/>
      <c r="O4" s="546"/>
      <c r="P4" s="546"/>
      <c r="Q4" s="546"/>
      <c r="R4" s="546"/>
      <c r="S4" s="546"/>
      <c r="T4" s="546"/>
      <c r="U4" s="546"/>
      <c r="V4" s="546"/>
      <c r="W4" s="546"/>
      <c r="X4" s="546"/>
      <c r="Y4" s="546"/>
      <c r="Z4" s="546"/>
      <c r="AA4" s="546"/>
      <c r="AB4" s="546"/>
    </row>
    <row r="5" spans="2:28" ht="91.5" customHeight="1" x14ac:dyDescent="0.25">
      <c r="B5" s="850" t="s">
        <v>1884</v>
      </c>
      <c r="C5" s="851"/>
      <c r="D5" s="851"/>
      <c r="E5" s="851"/>
      <c r="F5" s="851"/>
      <c r="G5" s="851"/>
      <c r="H5" s="851"/>
      <c r="I5" s="851"/>
      <c r="J5" s="851"/>
      <c r="K5" s="852"/>
      <c r="M5" s="546"/>
      <c r="N5" s="546"/>
      <c r="O5" s="546"/>
      <c r="P5" s="546"/>
      <c r="Q5" s="546"/>
      <c r="R5" s="546"/>
      <c r="S5" s="546"/>
      <c r="T5" s="546"/>
      <c r="U5" s="546"/>
      <c r="V5" s="546"/>
      <c r="W5" s="546"/>
      <c r="X5" s="546"/>
      <c r="Y5" s="546"/>
      <c r="Z5" s="546"/>
      <c r="AA5" s="546"/>
      <c r="AB5" s="546"/>
    </row>
    <row r="6" spans="2:28" ht="83.25" customHeight="1" x14ac:dyDescent="0.25">
      <c r="B6" s="850" t="s">
        <v>2157</v>
      </c>
      <c r="C6" s="851"/>
      <c r="D6" s="851"/>
      <c r="E6" s="851"/>
      <c r="F6" s="851"/>
      <c r="G6" s="851"/>
      <c r="H6" s="851"/>
      <c r="I6" s="851"/>
      <c r="J6" s="851"/>
      <c r="K6" s="852"/>
      <c r="M6" s="546"/>
      <c r="N6" s="546"/>
      <c r="O6" s="546"/>
      <c r="P6" s="546"/>
      <c r="Q6" s="546"/>
      <c r="R6" s="546"/>
      <c r="S6" s="546"/>
      <c r="T6" s="546"/>
      <c r="U6" s="546"/>
      <c r="V6" s="546"/>
      <c r="W6" s="546"/>
      <c r="X6" s="546"/>
      <c r="Y6" s="546"/>
      <c r="Z6" s="546"/>
      <c r="AA6" s="546"/>
      <c r="AB6" s="546"/>
    </row>
    <row r="7" spans="2:28" ht="55.5" customHeight="1" x14ac:dyDescent="0.25">
      <c r="B7" s="850" t="s">
        <v>1825</v>
      </c>
      <c r="C7" s="851"/>
      <c r="D7" s="851"/>
      <c r="E7" s="851"/>
      <c r="F7" s="851"/>
      <c r="G7" s="851"/>
      <c r="H7" s="851"/>
      <c r="I7" s="851"/>
      <c r="J7" s="851"/>
      <c r="K7" s="852"/>
      <c r="M7" s="546"/>
      <c r="N7" s="546"/>
      <c r="O7" s="546"/>
      <c r="P7" s="546"/>
      <c r="Q7" s="546"/>
      <c r="R7" s="546"/>
      <c r="S7" s="546"/>
      <c r="T7" s="546"/>
      <c r="U7" s="546"/>
      <c r="V7" s="546"/>
      <c r="W7" s="546"/>
      <c r="X7" s="546"/>
      <c r="Y7" s="546"/>
      <c r="Z7" s="546"/>
      <c r="AA7" s="546"/>
      <c r="AB7" s="546"/>
    </row>
    <row r="8" spans="2:28" ht="85.5" customHeight="1" thickBot="1" x14ac:dyDescent="0.3">
      <c r="B8" s="850" t="s">
        <v>1627</v>
      </c>
      <c r="C8" s="851"/>
      <c r="D8" s="851"/>
      <c r="E8" s="851"/>
      <c r="F8" s="851"/>
      <c r="G8" s="851"/>
      <c r="H8" s="851"/>
      <c r="I8" s="851"/>
      <c r="J8" s="851"/>
      <c r="K8" s="852"/>
      <c r="M8" s="546"/>
      <c r="N8" s="546"/>
      <c r="O8" s="546"/>
      <c r="P8" s="546"/>
      <c r="Q8" s="546"/>
      <c r="R8" s="546"/>
      <c r="S8" s="546"/>
      <c r="T8" s="546"/>
      <c r="U8" s="546"/>
      <c r="V8" s="546"/>
      <c r="W8" s="546"/>
      <c r="X8" s="546"/>
      <c r="Y8" s="546"/>
      <c r="Z8" s="546"/>
      <c r="AA8" s="546"/>
      <c r="AB8" s="546"/>
    </row>
    <row r="9" spans="2:28" ht="15.75" thickBot="1" x14ac:dyDescent="0.3">
      <c r="B9" s="872" t="s">
        <v>1338</v>
      </c>
      <c r="C9" s="873"/>
      <c r="D9" s="874"/>
      <c r="E9" s="868"/>
      <c r="F9" s="869"/>
      <c r="G9" s="869"/>
      <c r="H9" s="869"/>
      <c r="I9" s="869"/>
      <c r="J9" s="869"/>
      <c r="K9" s="871"/>
      <c r="M9" s="546"/>
      <c r="N9" s="546"/>
      <c r="O9" s="546"/>
      <c r="P9" s="546"/>
      <c r="Q9" s="546"/>
      <c r="R9" s="546"/>
      <c r="S9" s="546"/>
      <c r="T9" s="546"/>
      <c r="U9" s="546"/>
      <c r="V9" s="546"/>
      <c r="W9" s="546"/>
      <c r="X9" s="546"/>
      <c r="Y9" s="546"/>
      <c r="Z9" s="546"/>
      <c r="AA9" s="546"/>
      <c r="AB9" s="546"/>
    </row>
    <row r="10" spans="2:28" ht="52.5" customHeight="1" thickBot="1" x14ac:dyDescent="0.3">
      <c r="B10" s="847" t="s">
        <v>1416</v>
      </c>
      <c r="C10" s="848"/>
      <c r="D10" s="848"/>
      <c r="E10" s="848"/>
      <c r="F10" s="848"/>
      <c r="G10" s="848"/>
      <c r="H10" s="848"/>
      <c r="I10" s="848"/>
      <c r="J10" s="848"/>
      <c r="K10" s="849"/>
      <c r="M10" s="546"/>
      <c r="N10" s="546"/>
      <c r="O10" s="546"/>
      <c r="P10" s="546"/>
      <c r="Q10" s="546"/>
      <c r="R10" s="546"/>
      <c r="S10" s="546"/>
      <c r="T10" s="546"/>
      <c r="U10" s="546"/>
      <c r="V10" s="546"/>
      <c r="W10" s="546"/>
      <c r="X10" s="546"/>
      <c r="Y10" s="546"/>
      <c r="Z10" s="546"/>
      <c r="AA10" s="546"/>
      <c r="AB10" s="546"/>
    </row>
    <row r="11" spans="2:28" ht="15.75" thickBot="1" x14ac:dyDescent="0.3">
      <c r="B11" s="872" t="s">
        <v>1338</v>
      </c>
      <c r="C11" s="873"/>
      <c r="D11" s="874"/>
      <c r="E11" s="858" t="s">
        <v>1417</v>
      </c>
      <c r="F11" s="859"/>
      <c r="G11" s="859"/>
      <c r="H11" s="859"/>
      <c r="I11" s="859"/>
      <c r="J11" s="859"/>
      <c r="K11" s="875"/>
    </row>
    <row r="12" spans="2:28" ht="45.75" customHeight="1" thickBot="1" x14ac:dyDescent="0.3">
      <c r="B12" s="847" t="s">
        <v>1418</v>
      </c>
      <c r="C12" s="848"/>
      <c r="D12" s="848"/>
      <c r="E12" s="848"/>
      <c r="F12" s="848"/>
      <c r="G12" s="848"/>
      <c r="H12" s="848"/>
      <c r="I12" s="848"/>
      <c r="J12" s="848"/>
      <c r="K12" s="849"/>
    </row>
    <row r="13" spans="2:28" ht="64.5" customHeight="1" thickBot="1" x14ac:dyDescent="0.3">
      <c r="B13" s="856" t="s">
        <v>1393</v>
      </c>
      <c r="C13" s="857"/>
      <c r="D13" s="868"/>
      <c r="E13" s="869"/>
      <c r="F13" s="870"/>
      <c r="G13" s="866" t="s">
        <v>1419</v>
      </c>
      <c r="H13" s="866"/>
      <c r="I13" s="866"/>
      <c r="J13" s="866"/>
      <c r="K13" s="867"/>
      <c r="N13" s="86"/>
      <c r="O13" s="86"/>
      <c r="S13" s="86" t="b">
        <v>1</v>
      </c>
      <c r="T13" s="86" t="b">
        <v>1</v>
      </c>
    </row>
    <row r="14" spans="2:28" ht="63.75" customHeight="1" thickBot="1" x14ac:dyDescent="0.3">
      <c r="B14" s="847" t="s">
        <v>1420</v>
      </c>
      <c r="C14" s="848"/>
      <c r="D14" s="848"/>
      <c r="E14" s="848"/>
      <c r="F14" s="848"/>
      <c r="G14" s="848"/>
      <c r="H14" s="848"/>
      <c r="I14" s="848"/>
      <c r="J14" s="848"/>
      <c r="K14" s="849"/>
    </row>
    <row r="15" spans="2:28" ht="66.75" customHeight="1" thickBot="1" x14ac:dyDescent="0.3">
      <c r="B15" s="856" t="s">
        <v>1393</v>
      </c>
      <c r="C15" s="857"/>
      <c r="D15" s="858"/>
      <c r="E15" s="859"/>
      <c r="F15" s="860"/>
      <c r="G15" s="861"/>
      <c r="H15" s="861"/>
      <c r="I15" s="861"/>
      <c r="J15" s="861"/>
      <c r="K15" s="862"/>
      <c r="N15" s="86"/>
      <c r="O15" s="86"/>
    </row>
    <row r="16" spans="2:28" ht="43.5" customHeight="1" thickBot="1" x14ac:dyDescent="0.3">
      <c r="B16" s="853"/>
      <c r="C16" s="854"/>
      <c r="D16" s="854"/>
      <c r="E16" s="854"/>
      <c r="F16" s="854"/>
      <c r="G16" s="854"/>
      <c r="H16" s="854"/>
      <c r="I16" s="854"/>
      <c r="J16" s="854"/>
      <c r="K16" s="855"/>
    </row>
    <row r="17" spans="2:11" ht="48" customHeight="1" x14ac:dyDescent="0.25">
      <c r="B17" s="850" t="s">
        <v>1628</v>
      </c>
      <c r="C17" s="851"/>
      <c r="D17" s="851"/>
      <c r="E17" s="851"/>
      <c r="F17" s="851"/>
      <c r="G17" s="851"/>
      <c r="H17" s="851"/>
      <c r="I17" s="851"/>
      <c r="J17" s="851"/>
      <c r="K17" s="852"/>
    </row>
    <row r="18" spans="2:11" ht="66" customHeight="1" x14ac:dyDescent="0.25">
      <c r="B18" s="850" t="s">
        <v>1421</v>
      </c>
      <c r="C18" s="851"/>
      <c r="D18" s="851"/>
      <c r="E18" s="851"/>
      <c r="F18" s="851"/>
      <c r="G18" s="851"/>
      <c r="H18" s="851"/>
      <c r="I18" s="851"/>
      <c r="J18" s="851"/>
      <c r="K18" s="852"/>
    </row>
    <row r="19" spans="2:11" ht="66" customHeight="1" x14ac:dyDescent="0.25">
      <c r="B19" s="863" t="s">
        <v>1770</v>
      </c>
      <c r="C19" s="864"/>
      <c r="D19" s="864"/>
      <c r="E19" s="864"/>
      <c r="F19" s="864"/>
      <c r="G19" s="864"/>
      <c r="H19" s="864"/>
      <c r="I19" s="864"/>
      <c r="J19" s="864"/>
      <c r="K19" s="865"/>
    </row>
    <row r="20" spans="2:11" ht="63" customHeight="1" thickBot="1" x14ac:dyDescent="0.3">
      <c r="B20" s="844" t="s">
        <v>2367</v>
      </c>
      <c r="C20" s="845"/>
      <c r="D20" s="845"/>
      <c r="E20" s="845"/>
      <c r="F20" s="845"/>
      <c r="G20" s="845"/>
      <c r="H20" s="845"/>
      <c r="I20" s="845"/>
      <c r="J20" s="845"/>
      <c r="K20" s="846"/>
    </row>
    <row r="21" spans="2:11" ht="15.75" thickTop="1" x14ac:dyDescent="0.25">
      <c r="B21" s="78"/>
      <c r="C21" s="78"/>
      <c r="D21" s="78"/>
      <c r="E21" s="78"/>
      <c r="F21" s="78"/>
      <c r="G21" s="78"/>
      <c r="H21" s="78"/>
      <c r="I21" s="78"/>
      <c r="J21" s="78"/>
      <c r="K21" s="78"/>
    </row>
    <row r="22" spans="2:11" x14ac:dyDescent="0.25">
      <c r="B22" s="78"/>
      <c r="C22" s="78"/>
      <c r="D22" s="78"/>
      <c r="E22" s="78"/>
      <c r="F22" s="78"/>
      <c r="G22" s="78"/>
      <c r="H22" s="78"/>
      <c r="I22" s="78"/>
      <c r="J22" s="78"/>
      <c r="K22" s="78"/>
    </row>
    <row r="23" spans="2:11" x14ac:dyDescent="0.25">
      <c r="B23" s="78"/>
      <c r="C23" s="78"/>
      <c r="D23" s="78"/>
      <c r="E23" s="78"/>
      <c r="F23" s="78"/>
      <c r="G23" s="78"/>
      <c r="H23" s="78"/>
      <c r="I23" s="78"/>
      <c r="J23" s="78"/>
      <c r="K23" s="78"/>
    </row>
    <row r="24" spans="2:11" x14ac:dyDescent="0.25">
      <c r="B24" s="78"/>
      <c r="C24" s="78"/>
      <c r="D24" s="78"/>
      <c r="E24" s="78"/>
      <c r="F24" s="78"/>
      <c r="G24" s="78"/>
      <c r="H24" s="78"/>
      <c r="I24" s="78"/>
      <c r="J24" s="78"/>
      <c r="K24" s="78"/>
    </row>
    <row r="25" spans="2:11" x14ac:dyDescent="0.25">
      <c r="B25" s="78"/>
      <c r="C25" s="78"/>
      <c r="D25" s="78"/>
      <c r="E25" s="78"/>
      <c r="F25" s="78"/>
      <c r="G25" s="78"/>
      <c r="H25" s="78"/>
      <c r="I25" s="78"/>
      <c r="J25" s="78"/>
      <c r="K25" s="78"/>
    </row>
    <row r="26" spans="2:11" x14ac:dyDescent="0.25">
      <c r="B26" s="78"/>
      <c r="C26" s="78"/>
      <c r="D26" s="78"/>
      <c r="E26" s="78"/>
      <c r="F26" s="78"/>
      <c r="G26" s="78"/>
      <c r="H26" s="78"/>
      <c r="I26" s="78"/>
      <c r="J26" s="78"/>
      <c r="K26" s="78"/>
    </row>
    <row r="27" spans="2:11" x14ac:dyDescent="0.25">
      <c r="B27" s="78"/>
      <c r="C27" s="78"/>
      <c r="D27" s="78"/>
      <c r="E27" s="78"/>
      <c r="F27" s="78"/>
      <c r="G27" s="78"/>
      <c r="H27" s="78"/>
      <c r="I27" s="78"/>
      <c r="J27" s="78"/>
      <c r="K27" s="78"/>
    </row>
    <row r="28" spans="2:11" x14ac:dyDescent="0.25">
      <c r="B28" s="78"/>
      <c r="C28" s="78"/>
      <c r="D28" s="78"/>
      <c r="E28" s="78"/>
      <c r="F28" s="78"/>
      <c r="G28" s="78"/>
      <c r="H28" s="78"/>
      <c r="I28" s="78"/>
      <c r="J28" s="78"/>
      <c r="K28" s="78"/>
    </row>
    <row r="29" spans="2:11" x14ac:dyDescent="0.25">
      <c r="B29" s="78"/>
      <c r="C29" s="78"/>
      <c r="D29" s="78"/>
      <c r="E29" s="78"/>
      <c r="F29" s="78"/>
      <c r="G29" s="78"/>
      <c r="H29" s="78"/>
      <c r="I29" s="78"/>
      <c r="J29" s="78"/>
      <c r="K29" s="78"/>
    </row>
    <row r="30" spans="2:11" x14ac:dyDescent="0.25">
      <c r="B30" s="78"/>
      <c r="C30" s="78"/>
      <c r="D30" s="78"/>
      <c r="E30" s="78"/>
      <c r="F30" s="78"/>
      <c r="G30" s="78"/>
      <c r="H30" s="78"/>
      <c r="I30" s="78"/>
      <c r="J30" s="78"/>
      <c r="K30" s="78"/>
    </row>
    <row r="31" spans="2:11" x14ac:dyDescent="0.25">
      <c r="B31" s="78"/>
      <c r="C31" s="78"/>
      <c r="D31" s="78"/>
      <c r="E31" s="78"/>
      <c r="F31" s="78"/>
      <c r="G31" s="78"/>
      <c r="H31" s="78"/>
      <c r="I31" s="78"/>
      <c r="J31" s="78"/>
      <c r="K31" s="78"/>
    </row>
    <row r="32" spans="2:11" x14ac:dyDescent="0.25">
      <c r="B32" s="78"/>
      <c r="C32" s="78"/>
      <c r="D32" s="78"/>
      <c r="E32" s="78"/>
      <c r="F32" s="78"/>
      <c r="G32" s="78"/>
      <c r="H32" s="78"/>
      <c r="I32" s="78"/>
      <c r="J32" s="78"/>
      <c r="K32" s="78"/>
    </row>
    <row r="33" spans="2:11" x14ac:dyDescent="0.25">
      <c r="B33" s="78"/>
      <c r="C33" s="78"/>
      <c r="D33" s="78"/>
      <c r="E33" s="78"/>
      <c r="F33" s="78"/>
      <c r="G33" s="78"/>
      <c r="H33" s="78"/>
      <c r="I33" s="78"/>
      <c r="J33" s="78"/>
      <c r="K33" s="78"/>
    </row>
    <row r="34" spans="2:11" x14ac:dyDescent="0.25">
      <c r="B34" s="78"/>
      <c r="C34" s="78"/>
      <c r="D34" s="78"/>
      <c r="E34" s="78"/>
      <c r="F34" s="78"/>
      <c r="G34" s="78"/>
      <c r="H34" s="78"/>
      <c r="I34" s="78"/>
      <c r="J34" s="78"/>
      <c r="K34" s="78"/>
    </row>
    <row r="35" spans="2:11" x14ac:dyDescent="0.25">
      <c r="B35" s="78"/>
      <c r="C35" s="78"/>
      <c r="D35" s="78"/>
      <c r="E35" s="78"/>
      <c r="F35" s="78"/>
      <c r="G35" s="78"/>
      <c r="H35" s="78"/>
      <c r="I35" s="78"/>
      <c r="J35" s="78"/>
      <c r="K35" s="78"/>
    </row>
    <row r="36" spans="2:11" x14ac:dyDescent="0.25">
      <c r="B36" s="78"/>
      <c r="C36" s="78"/>
      <c r="D36" s="78"/>
      <c r="E36" s="78"/>
      <c r="F36" s="78"/>
      <c r="G36" s="78"/>
      <c r="H36" s="78"/>
      <c r="I36" s="78"/>
      <c r="J36" s="78"/>
      <c r="K36" s="78"/>
    </row>
    <row r="37" spans="2:11" x14ac:dyDescent="0.25">
      <c r="B37" s="78"/>
      <c r="C37" s="78"/>
      <c r="D37" s="78"/>
      <c r="E37" s="78"/>
      <c r="F37" s="78"/>
      <c r="G37" s="78"/>
      <c r="H37" s="78"/>
      <c r="I37" s="78"/>
      <c r="J37" s="78"/>
      <c r="K37" s="78"/>
    </row>
    <row r="38" spans="2:11" x14ac:dyDescent="0.25">
      <c r="B38" s="78"/>
      <c r="C38" s="78"/>
      <c r="D38" s="78"/>
      <c r="E38" s="78"/>
      <c r="F38" s="78"/>
      <c r="G38" s="78"/>
      <c r="H38" s="78"/>
      <c r="I38" s="78"/>
      <c r="J38" s="78"/>
      <c r="K38" s="78"/>
    </row>
    <row r="39" spans="2:11" x14ac:dyDescent="0.25">
      <c r="B39" s="78"/>
      <c r="C39" s="78"/>
      <c r="D39" s="78"/>
      <c r="E39" s="78"/>
      <c r="F39" s="78"/>
      <c r="G39" s="78"/>
      <c r="H39" s="78"/>
      <c r="I39" s="78"/>
      <c r="J39" s="78"/>
      <c r="K39" s="78"/>
    </row>
    <row r="40" spans="2:11" x14ac:dyDescent="0.25">
      <c r="B40" s="78"/>
      <c r="C40" s="78"/>
      <c r="D40" s="78"/>
      <c r="E40" s="78"/>
      <c r="F40" s="78"/>
      <c r="G40" s="78"/>
      <c r="H40" s="78"/>
      <c r="I40" s="78"/>
      <c r="J40" s="78"/>
      <c r="K40" s="78"/>
    </row>
    <row r="41" spans="2:11" x14ac:dyDescent="0.25">
      <c r="B41" s="78"/>
      <c r="C41" s="78"/>
      <c r="D41" s="78"/>
      <c r="E41" s="78"/>
      <c r="F41" s="78"/>
      <c r="G41" s="78"/>
      <c r="H41" s="78"/>
      <c r="I41" s="78"/>
      <c r="J41" s="78"/>
      <c r="K41" s="78"/>
    </row>
    <row r="42" spans="2:11" x14ac:dyDescent="0.25">
      <c r="B42" s="78"/>
      <c r="C42" s="78"/>
      <c r="D42" s="78"/>
      <c r="E42" s="78"/>
      <c r="F42" s="78"/>
      <c r="G42" s="78"/>
      <c r="H42" s="78"/>
      <c r="I42" s="78"/>
      <c r="J42" s="78"/>
      <c r="K42" s="78"/>
    </row>
    <row r="43" spans="2:11" x14ac:dyDescent="0.25">
      <c r="B43" s="78"/>
      <c r="C43" s="78"/>
      <c r="D43" s="78"/>
      <c r="E43" s="78"/>
      <c r="F43" s="78"/>
      <c r="G43" s="78"/>
      <c r="H43" s="78"/>
      <c r="I43" s="78"/>
      <c r="J43" s="78"/>
      <c r="K43" s="78"/>
    </row>
    <row r="44" spans="2:11" x14ac:dyDescent="0.25">
      <c r="B44" s="78"/>
      <c r="C44" s="78"/>
      <c r="D44" s="78"/>
      <c r="E44" s="78"/>
      <c r="F44" s="78"/>
      <c r="G44" s="78"/>
      <c r="H44" s="78"/>
      <c r="I44" s="78"/>
      <c r="J44" s="78"/>
      <c r="K44" s="78"/>
    </row>
    <row r="45" spans="2:11" x14ac:dyDescent="0.25">
      <c r="B45" s="78"/>
      <c r="C45" s="78"/>
      <c r="D45" s="78"/>
      <c r="E45" s="78"/>
      <c r="F45" s="78"/>
      <c r="G45" s="78"/>
      <c r="H45" s="78"/>
      <c r="I45" s="78"/>
      <c r="J45" s="78"/>
      <c r="K45" s="78"/>
    </row>
    <row r="46" spans="2:11" x14ac:dyDescent="0.25">
      <c r="B46" s="78"/>
      <c r="C46" s="78"/>
      <c r="D46" s="78"/>
      <c r="E46" s="78"/>
      <c r="F46" s="78"/>
      <c r="G46" s="78"/>
      <c r="H46" s="78"/>
      <c r="I46" s="78"/>
      <c r="J46" s="78"/>
      <c r="K46" s="78"/>
    </row>
    <row r="47" spans="2:11" x14ac:dyDescent="0.25">
      <c r="B47" s="78"/>
      <c r="C47" s="78"/>
      <c r="D47" s="78"/>
      <c r="E47" s="78"/>
      <c r="F47" s="78"/>
      <c r="G47" s="78"/>
      <c r="H47" s="78"/>
      <c r="I47" s="78"/>
      <c r="J47" s="78"/>
      <c r="K47" s="78"/>
    </row>
    <row r="48" spans="2:11" x14ac:dyDescent="0.25">
      <c r="B48" s="78"/>
      <c r="C48" s="78"/>
      <c r="D48" s="78"/>
      <c r="E48" s="78"/>
      <c r="F48" s="78"/>
      <c r="G48" s="78"/>
      <c r="H48" s="78"/>
      <c r="I48" s="78"/>
      <c r="J48" s="78"/>
      <c r="K48" s="78"/>
    </row>
    <row r="49" spans="2:11" x14ac:dyDescent="0.25">
      <c r="B49" s="78"/>
      <c r="C49" s="78"/>
      <c r="D49" s="78"/>
      <c r="E49" s="78"/>
      <c r="F49" s="78"/>
      <c r="G49" s="78"/>
      <c r="H49" s="78"/>
      <c r="I49" s="78"/>
      <c r="J49" s="78"/>
      <c r="K49" s="78"/>
    </row>
    <row r="50" spans="2:11" x14ac:dyDescent="0.25">
      <c r="B50" s="78"/>
      <c r="C50" s="78"/>
      <c r="D50" s="78"/>
      <c r="E50" s="78"/>
      <c r="F50" s="78"/>
      <c r="G50" s="78"/>
      <c r="H50" s="78"/>
      <c r="I50" s="78"/>
      <c r="J50" s="78"/>
      <c r="K50" s="78"/>
    </row>
    <row r="51" spans="2:11" x14ac:dyDescent="0.25">
      <c r="B51" s="78"/>
      <c r="C51" s="78"/>
      <c r="D51" s="78"/>
      <c r="E51" s="78"/>
      <c r="F51" s="78"/>
      <c r="G51" s="78"/>
      <c r="H51" s="78"/>
      <c r="I51" s="78"/>
      <c r="J51" s="78"/>
      <c r="K51" s="78"/>
    </row>
    <row r="52" spans="2:11" x14ac:dyDescent="0.25">
      <c r="B52" s="78"/>
      <c r="C52" s="78"/>
      <c r="D52" s="78"/>
      <c r="E52" s="78"/>
      <c r="F52" s="78"/>
      <c r="G52" s="78"/>
      <c r="H52" s="78"/>
      <c r="I52" s="78"/>
      <c r="J52" s="78"/>
      <c r="K52" s="78"/>
    </row>
    <row r="53" spans="2:11" x14ac:dyDescent="0.25">
      <c r="B53" s="78"/>
      <c r="C53" s="78"/>
      <c r="D53" s="78"/>
      <c r="E53" s="78"/>
      <c r="F53" s="78"/>
      <c r="G53" s="78"/>
      <c r="H53" s="78"/>
      <c r="I53" s="78"/>
      <c r="J53" s="78"/>
      <c r="K53" s="78"/>
    </row>
    <row r="54" spans="2:11" x14ac:dyDescent="0.25">
      <c r="B54" s="78"/>
      <c r="C54" s="78"/>
      <c r="D54" s="78"/>
      <c r="E54" s="78"/>
      <c r="F54" s="78"/>
      <c r="G54" s="78"/>
      <c r="H54" s="78"/>
      <c r="I54" s="78"/>
      <c r="J54" s="78"/>
      <c r="K54" s="78"/>
    </row>
    <row r="55" spans="2:11" x14ac:dyDescent="0.25">
      <c r="B55" s="78"/>
      <c r="C55" s="78"/>
      <c r="D55" s="78"/>
      <c r="E55" s="78"/>
      <c r="F55" s="78"/>
      <c r="G55" s="78"/>
      <c r="H55" s="78"/>
      <c r="I55" s="78"/>
      <c r="J55" s="78"/>
      <c r="K55" s="78"/>
    </row>
    <row r="56" spans="2:11" x14ac:dyDescent="0.25">
      <c r="B56" s="78"/>
      <c r="C56" s="78"/>
      <c r="D56" s="78"/>
      <c r="E56" s="78"/>
      <c r="F56" s="78"/>
      <c r="G56" s="78"/>
      <c r="H56" s="78"/>
      <c r="I56" s="78"/>
      <c r="J56" s="78"/>
      <c r="K56" s="78"/>
    </row>
    <row r="57" spans="2:11" x14ac:dyDescent="0.25">
      <c r="B57" s="78"/>
      <c r="C57" s="78"/>
      <c r="D57" s="78"/>
      <c r="E57" s="78"/>
      <c r="F57" s="78"/>
      <c r="G57" s="78"/>
      <c r="H57" s="78"/>
      <c r="I57" s="78"/>
      <c r="J57" s="78"/>
      <c r="K57" s="78"/>
    </row>
    <row r="58" spans="2:11" x14ac:dyDescent="0.25">
      <c r="B58" s="78"/>
      <c r="C58" s="78"/>
      <c r="D58" s="78"/>
      <c r="E58" s="78"/>
      <c r="F58" s="78"/>
      <c r="G58" s="78"/>
      <c r="H58" s="78"/>
      <c r="I58" s="78"/>
      <c r="J58" s="78"/>
      <c r="K58" s="78"/>
    </row>
    <row r="59" spans="2:11" x14ac:dyDescent="0.25">
      <c r="B59" s="78"/>
      <c r="C59" s="78"/>
      <c r="D59" s="78"/>
      <c r="E59" s="78"/>
      <c r="F59" s="78"/>
      <c r="G59" s="78"/>
      <c r="H59" s="78"/>
      <c r="I59" s="78"/>
      <c r="J59" s="78"/>
      <c r="K59" s="78"/>
    </row>
    <row r="60" spans="2:11" x14ac:dyDescent="0.25">
      <c r="B60" s="78"/>
      <c r="C60" s="78"/>
      <c r="D60" s="78"/>
      <c r="E60" s="78"/>
      <c r="F60" s="78"/>
      <c r="G60" s="78"/>
      <c r="H60" s="78"/>
      <c r="I60" s="78"/>
      <c r="J60" s="78"/>
      <c r="K60" s="78"/>
    </row>
    <row r="61" spans="2:11" x14ac:dyDescent="0.25">
      <c r="B61" s="78"/>
      <c r="C61" s="78"/>
      <c r="D61" s="78"/>
      <c r="E61" s="78"/>
      <c r="F61" s="78"/>
      <c r="G61" s="78"/>
      <c r="H61" s="78"/>
      <c r="I61" s="78"/>
      <c r="J61" s="78"/>
      <c r="K61" s="78"/>
    </row>
    <row r="62" spans="2:11" x14ac:dyDescent="0.25">
      <c r="B62" s="78"/>
      <c r="C62" s="78"/>
      <c r="D62" s="78"/>
      <c r="E62" s="78"/>
      <c r="F62" s="78"/>
      <c r="G62" s="78"/>
      <c r="H62" s="78"/>
      <c r="I62" s="78"/>
      <c r="J62" s="78"/>
      <c r="K62" s="78"/>
    </row>
    <row r="63" spans="2:11" x14ac:dyDescent="0.25">
      <c r="B63" s="78"/>
      <c r="C63" s="78"/>
      <c r="D63" s="78"/>
      <c r="E63" s="78"/>
      <c r="F63" s="78"/>
      <c r="G63" s="78"/>
      <c r="H63" s="78"/>
      <c r="I63" s="78"/>
      <c r="J63" s="78"/>
      <c r="K63" s="78"/>
    </row>
    <row r="64" spans="2:11" x14ac:dyDescent="0.25">
      <c r="B64" s="78"/>
      <c r="C64" s="78"/>
      <c r="D64" s="78"/>
      <c r="E64" s="78"/>
      <c r="F64" s="78"/>
      <c r="G64" s="78"/>
      <c r="H64" s="78"/>
      <c r="I64" s="78"/>
      <c r="J64" s="78"/>
      <c r="K64" s="78"/>
    </row>
    <row r="65" spans="2:11" x14ac:dyDescent="0.25">
      <c r="B65" s="78"/>
      <c r="C65" s="78"/>
      <c r="D65" s="78"/>
      <c r="E65" s="78"/>
      <c r="F65" s="78"/>
      <c r="G65" s="78"/>
      <c r="H65" s="78"/>
      <c r="I65" s="78"/>
      <c r="J65" s="78"/>
      <c r="K65" s="78"/>
    </row>
    <row r="66" spans="2:11" x14ac:dyDescent="0.25">
      <c r="B66" s="78"/>
      <c r="C66" s="78"/>
      <c r="D66" s="78"/>
      <c r="E66" s="78"/>
      <c r="F66" s="78"/>
      <c r="G66" s="78"/>
      <c r="H66" s="78"/>
      <c r="I66" s="78"/>
      <c r="J66" s="78"/>
      <c r="K66" s="78"/>
    </row>
    <row r="67" spans="2:11" x14ac:dyDescent="0.25">
      <c r="B67" s="78"/>
      <c r="C67" s="78"/>
      <c r="D67" s="78"/>
      <c r="E67" s="78"/>
      <c r="F67" s="78"/>
      <c r="G67" s="78"/>
      <c r="H67" s="78"/>
      <c r="I67" s="78"/>
      <c r="J67" s="78"/>
      <c r="K67" s="78"/>
    </row>
    <row r="68" spans="2:11" x14ac:dyDescent="0.25">
      <c r="B68" s="78"/>
      <c r="C68" s="78"/>
      <c r="D68" s="78"/>
      <c r="E68" s="78"/>
      <c r="F68" s="78"/>
      <c r="G68" s="78"/>
      <c r="H68" s="78"/>
      <c r="I68" s="78"/>
      <c r="J68" s="78"/>
      <c r="K68" s="78"/>
    </row>
    <row r="69" spans="2:11" x14ac:dyDescent="0.25">
      <c r="B69" s="78"/>
      <c r="C69" s="78"/>
      <c r="D69" s="78"/>
      <c r="E69" s="78"/>
      <c r="F69" s="78"/>
      <c r="G69" s="78"/>
      <c r="H69" s="78"/>
      <c r="I69" s="78"/>
      <c r="J69" s="78"/>
      <c r="K69" s="78"/>
    </row>
    <row r="70" spans="2:11" x14ac:dyDescent="0.25">
      <c r="B70" s="78"/>
      <c r="C70" s="78"/>
      <c r="D70" s="78"/>
      <c r="E70" s="78"/>
      <c r="F70" s="78"/>
      <c r="G70" s="78"/>
      <c r="H70" s="78"/>
      <c r="I70" s="78"/>
      <c r="J70" s="78"/>
      <c r="K70" s="78"/>
    </row>
    <row r="71" spans="2:11" x14ac:dyDescent="0.25">
      <c r="B71" s="78"/>
      <c r="C71" s="78"/>
      <c r="D71" s="78"/>
      <c r="E71" s="78"/>
      <c r="F71" s="78"/>
      <c r="G71" s="78"/>
      <c r="H71" s="78"/>
      <c r="I71" s="78"/>
      <c r="J71" s="78"/>
      <c r="K71" s="78"/>
    </row>
  </sheetData>
  <sheetProtection algorithmName="SHA-512" hashValue="9UKLMZfvcSb3yLnkv2m89iP1Ekm8zxt1QEy9uzCEBYE5VLxoQihp/lYUw4FOpUAvpsUG87Z908SUymP+dpUHhw==" saltValue="Eq1w6NtljT+LkTDps91SUw==" spinCount="100000" sheet="1" objects="1" scenarios="1"/>
  <mergeCells count="26">
    <mergeCell ref="M2:O2"/>
    <mergeCell ref="M3:O3"/>
    <mergeCell ref="B8:K8"/>
    <mergeCell ref="B5:K5"/>
    <mergeCell ref="B3:K3"/>
    <mergeCell ref="B2:K2"/>
    <mergeCell ref="B7:K7"/>
    <mergeCell ref="B6:K6"/>
    <mergeCell ref="B12:K12"/>
    <mergeCell ref="G13:K13"/>
    <mergeCell ref="D13:F13"/>
    <mergeCell ref="B13:C13"/>
    <mergeCell ref="E9:K9"/>
    <mergeCell ref="B9:D9"/>
    <mergeCell ref="B10:K10"/>
    <mergeCell ref="B11:D11"/>
    <mergeCell ref="E11:K11"/>
    <mergeCell ref="B20:K20"/>
    <mergeCell ref="B14:K14"/>
    <mergeCell ref="B18:K18"/>
    <mergeCell ref="B16:K16"/>
    <mergeCell ref="B15:C15"/>
    <mergeCell ref="D15:F15"/>
    <mergeCell ref="G15:K15"/>
    <mergeCell ref="B17:K17"/>
    <mergeCell ref="B19:K19"/>
  </mergeCells>
  <pageMargins left="0.7" right="0.7" top="0.75" bottom="0.75" header="0.3" footer="0.3"/>
  <pageSetup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3</xdr:col>
                    <xdr:colOff>152400</xdr:colOff>
                    <xdr:row>12</xdr:row>
                    <xdr:rowOff>47625</xdr:rowOff>
                  </from>
                  <to>
                    <xdr:col>4</xdr:col>
                    <xdr:colOff>304800</xdr:colOff>
                    <xdr:row>12</xdr:row>
                    <xdr:rowOff>781050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4</xdr:col>
                    <xdr:colOff>361950</xdr:colOff>
                    <xdr:row>12</xdr:row>
                    <xdr:rowOff>47625</xdr:rowOff>
                  </from>
                  <to>
                    <xdr:col>6</xdr:col>
                    <xdr:colOff>0</xdr:colOff>
                    <xdr:row>12</xdr:row>
                    <xdr:rowOff>781050</xdr:rowOff>
                  </to>
                </anchor>
              </controlPr>
            </control>
          </mc:Choice>
        </mc:AlternateContent>
        <mc:AlternateContent xmlns:mc="http://schemas.openxmlformats.org/markup-compatibility/2006">
          <mc:Choice Requires="x14">
            <control shapeId="31759" r:id="rId6" name="Check Box 15">
              <controlPr defaultSize="0" autoFill="0" autoLine="0" autoPict="0">
                <anchor moveWithCells="1">
                  <from>
                    <xdr:col>1</xdr:col>
                    <xdr:colOff>0</xdr:colOff>
                    <xdr:row>15</xdr:row>
                    <xdr:rowOff>47625</xdr:rowOff>
                  </from>
                  <to>
                    <xdr:col>2</xdr:col>
                    <xdr:colOff>171450</xdr:colOff>
                    <xdr:row>15</xdr:row>
                    <xdr:rowOff>276225</xdr:rowOff>
                  </to>
                </anchor>
              </controlPr>
            </control>
          </mc:Choice>
        </mc:AlternateContent>
        <mc:AlternateContent xmlns:mc="http://schemas.openxmlformats.org/markup-compatibility/2006">
          <mc:Choice Requires="x14">
            <control shapeId="31760" r:id="rId7" name="Check Box 16">
              <controlPr defaultSize="0" autoFill="0" autoLine="0" autoPict="0">
                <anchor moveWithCells="1">
                  <from>
                    <xdr:col>1</xdr:col>
                    <xdr:colOff>0</xdr:colOff>
                    <xdr:row>15</xdr:row>
                    <xdr:rowOff>238125</xdr:rowOff>
                  </from>
                  <to>
                    <xdr:col>2</xdr:col>
                    <xdr:colOff>171450</xdr:colOff>
                    <xdr:row>15</xdr:row>
                    <xdr:rowOff>466725</xdr:rowOff>
                  </to>
                </anchor>
              </controlPr>
            </control>
          </mc:Choice>
        </mc:AlternateContent>
        <mc:AlternateContent xmlns:mc="http://schemas.openxmlformats.org/markup-compatibility/2006">
          <mc:Choice Requires="x14">
            <control shapeId="31761" r:id="rId8" name="Check Box 17">
              <controlPr defaultSize="0" autoFill="0" autoLine="0" autoPict="0">
                <anchor moveWithCells="1">
                  <from>
                    <xdr:col>2</xdr:col>
                    <xdr:colOff>466725</xdr:colOff>
                    <xdr:row>15</xdr:row>
                    <xdr:rowOff>47625</xdr:rowOff>
                  </from>
                  <to>
                    <xdr:col>4</xdr:col>
                    <xdr:colOff>171450</xdr:colOff>
                    <xdr:row>15</xdr:row>
                    <xdr:rowOff>276225</xdr:rowOff>
                  </to>
                </anchor>
              </controlPr>
            </control>
          </mc:Choice>
        </mc:AlternateContent>
        <mc:AlternateContent xmlns:mc="http://schemas.openxmlformats.org/markup-compatibility/2006">
          <mc:Choice Requires="x14">
            <control shapeId="31762" r:id="rId9" name="Check Box 18">
              <controlPr defaultSize="0" autoFill="0" autoLine="0" autoPict="0">
                <anchor moveWithCells="1">
                  <from>
                    <xdr:col>2</xdr:col>
                    <xdr:colOff>466725</xdr:colOff>
                    <xdr:row>15</xdr:row>
                    <xdr:rowOff>238125</xdr:rowOff>
                  </from>
                  <to>
                    <xdr:col>4</xdr:col>
                    <xdr:colOff>171450</xdr:colOff>
                    <xdr:row>15</xdr:row>
                    <xdr:rowOff>466725</xdr:rowOff>
                  </to>
                </anchor>
              </controlPr>
            </control>
          </mc:Choice>
        </mc:AlternateContent>
        <mc:AlternateContent xmlns:mc="http://schemas.openxmlformats.org/markup-compatibility/2006">
          <mc:Choice Requires="x14">
            <control shapeId="31763" r:id="rId10" name="Check Box 19">
              <controlPr defaultSize="0" autoFill="0" autoLine="0" autoPict="0">
                <anchor moveWithCells="1">
                  <from>
                    <xdr:col>4</xdr:col>
                    <xdr:colOff>333375</xdr:colOff>
                    <xdr:row>15</xdr:row>
                    <xdr:rowOff>47625</xdr:rowOff>
                  </from>
                  <to>
                    <xdr:col>5</xdr:col>
                    <xdr:colOff>590550</xdr:colOff>
                    <xdr:row>15</xdr:row>
                    <xdr:rowOff>276225</xdr:rowOff>
                  </to>
                </anchor>
              </controlPr>
            </control>
          </mc:Choice>
        </mc:AlternateContent>
        <mc:AlternateContent xmlns:mc="http://schemas.openxmlformats.org/markup-compatibility/2006">
          <mc:Choice Requires="x14">
            <control shapeId="31764" r:id="rId11" name="Check Box 20">
              <controlPr defaultSize="0" autoFill="0" autoLine="0" autoPict="0">
                <anchor moveWithCells="1">
                  <from>
                    <xdr:col>4</xdr:col>
                    <xdr:colOff>333375</xdr:colOff>
                    <xdr:row>15</xdr:row>
                    <xdr:rowOff>238125</xdr:rowOff>
                  </from>
                  <to>
                    <xdr:col>5</xdr:col>
                    <xdr:colOff>590550</xdr:colOff>
                    <xdr:row>15</xdr:row>
                    <xdr:rowOff>466725</xdr:rowOff>
                  </to>
                </anchor>
              </controlPr>
            </control>
          </mc:Choice>
        </mc:AlternateContent>
        <mc:AlternateContent xmlns:mc="http://schemas.openxmlformats.org/markup-compatibility/2006">
          <mc:Choice Requires="x14">
            <control shapeId="31765" r:id="rId12" name="Check Box 21">
              <controlPr defaultSize="0" autoFill="0" autoLine="0" autoPict="0">
                <anchor moveWithCells="1">
                  <from>
                    <xdr:col>6</xdr:col>
                    <xdr:colOff>66675</xdr:colOff>
                    <xdr:row>15</xdr:row>
                    <xdr:rowOff>47625</xdr:rowOff>
                  </from>
                  <to>
                    <xdr:col>7</xdr:col>
                    <xdr:colOff>323850</xdr:colOff>
                    <xdr:row>15</xdr:row>
                    <xdr:rowOff>276225</xdr:rowOff>
                  </to>
                </anchor>
              </controlPr>
            </control>
          </mc:Choice>
        </mc:AlternateContent>
        <mc:AlternateContent xmlns:mc="http://schemas.openxmlformats.org/markup-compatibility/2006">
          <mc:Choice Requires="x14">
            <control shapeId="31766" r:id="rId13" name="Check Box 22">
              <controlPr defaultSize="0" autoFill="0" autoLine="0" autoPict="0">
                <anchor moveWithCells="1">
                  <from>
                    <xdr:col>6</xdr:col>
                    <xdr:colOff>66675</xdr:colOff>
                    <xdr:row>15</xdr:row>
                    <xdr:rowOff>238125</xdr:rowOff>
                  </from>
                  <to>
                    <xdr:col>7</xdr:col>
                    <xdr:colOff>323850</xdr:colOff>
                    <xdr:row>15</xdr:row>
                    <xdr:rowOff>466725</xdr:rowOff>
                  </to>
                </anchor>
              </controlPr>
            </control>
          </mc:Choice>
        </mc:AlternateContent>
        <mc:AlternateContent xmlns:mc="http://schemas.openxmlformats.org/markup-compatibility/2006">
          <mc:Choice Requires="x14">
            <control shapeId="31767" r:id="rId14" name="Check Box 23">
              <controlPr defaultSize="0" autoFill="0" autoLine="0" autoPict="0">
                <anchor moveWithCells="1">
                  <from>
                    <xdr:col>7</xdr:col>
                    <xdr:colOff>466725</xdr:colOff>
                    <xdr:row>15</xdr:row>
                    <xdr:rowOff>47625</xdr:rowOff>
                  </from>
                  <to>
                    <xdr:col>9</xdr:col>
                    <xdr:colOff>114300</xdr:colOff>
                    <xdr:row>15</xdr:row>
                    <xdr:rowOff>276225</xdr:rowOff>
                  </to>
                </anchor>
              </controlPr>
            </control>
          </mc:Choice>
        </mc:AlternateContent>
        <mc:AlternateContent xmlns:mc="http://schemas.openxmlformats.org/markup-compatibility/2006">
          <mc:Choice Requires="x14">
            <control shapeId="31768" r:id="rId15" name="Check Box 24">
              <controlPr defaultSize="0" autoFill="0" autoLine="0" autoPict="0">
                <anchor moveWithCells="1">
                  <from>
                    <xdr:col>7</xdr:col>
                    <xdr:colOff>466725</xdr:colOff>
                    <xdr:row>15</xdr:row>
                    <xdr:rowOff>238125</xdr:rowOff>
                  </from>
                  <to>
                    <xdr:col>9</xdr:col>
                    <xdr:colOff>114300</xdr:colOff>
                    <xdr:row>15</xdr:row>
                    <xdr:rowOff>466725</xdr:rowOff>
                  </to>
                </anchor>
              </controlPr>
            </control>
          </mc:Choice>
        </mc:AlternateContent>
        <mc:AlternateContent xmlns:mc="http://schemas.openxmlformats.org/markup-compatibility/2006">
          <mc:Choice Requires="x14">
            <control shapeId="31769" r:id="rId16" name="Check Box 25">
              <controlPr defaultSize="0" autoFill="0" autoLine="0" autoPict="0">
                <anchor moveWithCells="1">
                  <from>
                    <xdr:col>9</xdr:col>
                    <xdr:colOff>333375</xdr:colOff>
                    <xdr:row>15</xdr:row>
                    <xdr:rowOff>47625</xdr:rowOff>
                  </from>
                  <to>
                    <xdr:col>10</xdr:col>
                    <xdr:colOff>590550</xdr:colOff>
                    <xdr:row>15</xdr:row>
                    <xdr:rowOff>276225</xdr:rowOff>
                  </to>
                </anchor>
              </controlPr>
            </control>
          </mc:Choice>
        </mc:AlternateContent>
        <mc:AlternateContent xmlns:mc="http://schemas.openxmlformats.org/markup-compatibility/2006">
          <mc:Choice Requires="x14">
            <control shapeId="31770" r:id="rId17" name="Check Box 26">
              <controlPr defaultSize="0" autoFill="0" autoLine="0" autoPict="0">
                <anchor moveWithCells="1">
                  <from>
                    <xdr:col>9</xdr:col>
                    <xdr:colOff>333375</xdr:colOff>
                    <xdr:row>15</xdr:row>
                    <xdr:rowOff>238125</xdr:rowOff>
                  </from>
                  <to>
                    <xdr:col>10</xdr:col>
                    <xdr:colOff>590550</xdr:colOff>
                    <xdr:row>15</xdr:row>
                    <xdr:rowOff>466725</xdr:rowOff>
                  </to>
                </anchor>
              </controlPr>
            </control>
          </mc:Choice>
        </mc:AlternateContent>
        <mc:AlternateContent xmlns:mc="http://schemas.openxmlformats.org/markup-compatibility/2006">
          <mc:Choice Requires="x14">
            <control shapeId="31771" r:id="rId18" name="Check Box 27">
              <controlPr defaultSize="0" autoFill="0" autoLine="0" autoPict="0">
                <anchor moveWithCells="1">
                  <from>
                    <xdr:col>3</xdr:col>
                    <xdr:colOff>152400</xdr:colOff>
                    <xdr:row>14</xdr:row>
                    <xdr:rowOff>47625</xdr:rowOff>
                  </from>
                  <to>
                    <xdr:col>4</xdr:col>
                    <xdr:colOff>304800</xdr:colOff>
                    <xdr:row>15</xdr:row>
                    <xdr:rowOff>0</xdr:rowOff>
                  </to>
                </anchor>
              </controlPr>
            </control>
          </mc:Choice>
        </mc:AlternateContent>
        <mc:AlternateContent xmlns:mc="http://schemas.openxmlformats.org/markup-compatibility/2006">
          <mc:Choice Requires="x14">
            <control shapeId="31772" r:id="rId19" name="Check Box 28">
              <controlPr defaultSize="0" autoFill="0" autoLine="0" autoPict="0">
                <anchor moveWithCells="1">
                  <from>
                    <xdr:col>4</xdr:col>
                    <xdr:colOff>361950</xdr:colOff>
                    <xdr:row>14</xdr:row>
                    <xdr:rowOff>47625</xdr:rowOff>
                  </from>
                  <to>
                    <xdr:col>6</xdr:col>
                    <xdr:colOff>0</xdr:colOff>
                    <xdr:row>15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002060"/>
  </sheetPr>
  <dimension ref="A1:BE145"/>
  <sheetViews>
    <sheetView showGridLines="0" zoomScaleNormal="100" workbookViewId="0">
      <selection sqref="A1:S1"/>
    </sheetView>
  </sheetViews>
  <sheetFormatPr defaultRowHeight="14.25" x14ac:dyDescent="0.25"/>
  <cols>
    <col min="1" max="1" width="10" style="131" customWidth="1"/>
    <col min="2" max="2" width="15.42578125" style="48" customWidth="1"/>
    <col min="3" max="3" width="12.140625" style="48" customWidth="1"/>
    <col min="4" max="4" width="11.28515625" style="48" customWidth="1"/>
    <col min="5" max="5" width="14.7109375" style="48" customWidth="1"/>
    <col min="6" max="6" width="14.5703125" style="48" customWidth="1"/>
    <col min="7" max="15" width="11.140625" style="48" customWidth="1"/>
    <col min="16" max="16" width="3.7109375" style="48" customWidth="1"/>
    <col min="17" max="18" width="9.140625" style="48"/>
    <col min="19" max="39" width="10.7109375" style="48" customWidth="1"/>
    <col min="40" max="40" width="40.42578125" style="48" bestFit="1" customWidth="1"/>
    <col min="41" max="50" width="9.7109375" style="48" customWidth="1"/>
    <col min="51" max="16384" width="9.140625" style="48"/>
  </cols>
  <sheetData>
    <row r="1" spans="1:25" s="69" customFormat="1" ht="26.25" customHeight="1" thickBot="1" x14ac:dyDescent="0.3">
      <c r="A1" s="1255" t="s">
        <v>2158</v>
      </c>
      <c r="B1" s="1255"/>
      <c r="C1" s="1255"/>
      <c r="D1" s="1255"/>
      <c r="E1" s="1255"/>
      <c r="F1" s="1255"/>
      <c r="G1" s="1255"/>
      <c r="H1" s="1255"/>
      <c r="I1" s="1255"/>
      <c r="J1" s="1255"/>
      <c r="K1" s="1255"/>
      <c r="L1" s="1255"/>
      <c r="M1" s="1255"/>
      <c r="N1" s="1255"/>
      <c r="O1" s="1255"/>
      <c r="P1" s="1255"/>
      <c r="Q1" s="1255"/>
      <c r="R1" s="1255"/>
      <c r="S1" s="1255"/>
    </row>
    <row r="2" spans="1:25" s="160" customFormat="1" ht="147" customHeight="1" thickBot="1" x14ac:dyDescent="0.3">
      <c r="A2" s="1310" t="s">
        <v>2332</v>
      </c>
      <c r="B2" s="1310"/>
      <c r="C2" s="1310"/>
      <c r="D2" s="1310"/>
      <c r="E2" s="1310"/>
      <c r="F2" s="1310"/>
      <c r="G2" s="1310"/>
      <c r="H2" s="1310"/>
      <c r="I2" s="1310"/>
      <c r="J2" s="1310"/>
      <c r="K2" s="1310"/>
      <c r="L2" s="1310"/>
      <c r="M2" s="1310"/>
      <c r="N2" s="1310"/>
      <c r="O2" s="1310"/>
    </row>
    <row r="3" spans="1:25" s="635" customFormat="1" ht="30" customHeight="1" thickBot="1" x14ac:dyDescent="0.3">
      <c r="A3" s="1312" t="s">
        <v>2137</v>
      </c>
      <c r="B3" s="1313"/>
      <c r="C3" s="1313"/>
      <c r="D3" s="1313"/>
      <c r="E3" s="1313"/>
      <c r="F3" s="1313"/>
      <c r="G3" s="1313"/>
      <c r="H3" s="1313"/>
      <c r="I3" s="1313"/>
      <c r="J3" s="1313"/>
      <c r="K3" s="1313"/>
      <c r="L3" s="1313"/>
      <c r="M3" s="1313"/>
      <c r="N3" s="1313"/>
      <c r="O3" s="1313"/>
    </row>
    <row r="4" spans="1:25" s="68" customFormat="1" ht="33" customHeight="1" x14ac:dyDescent="0.25">
      <c r="A4" s="1319" t="s">
        <v>2000</v>
      </c>
      <c r="B4" s="1319"/>
      <c r="C4" s="1319"/>
      <c r="D4" s="1319"/>
      <c r="E4" s="1319"/>
      <c r="F4" s="1319"/>
      <c r="G4" s="1319"/>
      <c r="H4" s="1319"/>
      <c r="I4" s="1319"/>
      <c r="J4" s="1319"/>
      <c r="K4" s="1319"/>
      <c r="L4" s="1319"/>
      <c r="M4" s="1319"/>
      <c r="N4" s="1319"/>
      <c r="O4" s="1319"/>
      <c r="R4" s="66"/>
    </row>
    <row r="5" spans="1:25" s="68" customFormat="1" ht="115.5" customHeight="1" x14ac:dyDescent="0.25">
      <c r="A5" s="1321" t="s">
        <v>2139</v>
      </c>
      <c r="B5" s="1321"/>
      <c r="C5" s="1321"/>
      <c r="D5" s="1321"/>
      <c r="E5" s="1321"/>
      <c r="F5" s="1321"/>
      <c r="G5" s="1321"/>
      <c r="H5" s="1321"/>
      <c r="I5" s="1321"/>
      <c r="J5" s="1321"/>
      <c r="K5" s="1321"/>
      <c r="L5" s="1321"/>
      <c r="M5" s="1321"/>
      <c r="N5" s="1321"/>
      <c r="O5" s="1321"/>
    </row>
    <row r="6" spans="1:25" s="160" customFormat="1" ht="50.1" customHeight="1" x14ac:dyDescent="0.25">
      <c r="A6" s="161">
        <v>1</v>
      </c>
      <c r="B6" s="1311" t="s">
        <v>2148</v>
      </c>
      <c r="C6" s="1311"/>
      <c r="D6" s="1311"/>
      <c r="E6" s="1311"/>
      <c r="F6" s="1311"/>
      <c r="G6" s="1311"/>
      <c r="H6" s="1311"/>
      <c r="I6" s="1311"/>
      <c r="J6" s="1311"/>
      <c r="K6" s="1311"/>
      <c r="L6" s="1311"/>
      <c r="M6" s="1311"/>
      <c r="N6" s="1311"/>
      <c r="O6" s="1311"/>
    </row>
    <row r="7" spans="1:25" s="68" customFormat="1" ht="35.1" customHeight="1" x14ac:dyDescent="0.25">
      <c r="A7" s="161">
        <v>2</v>
      </c>
      <c r="B7" s="1309" t="s">
        <v>1508</v>
      </c>
      <c r="C7" s="1309"/>
      <c r="D7" s="1309"/>
      <c r="E7" s="1309"/>
      <c r="F7" s="1309"/>
      <c r="G7" s="1309"/>
      <c r="H7" s="1309"/>
      <c r="I7" s="1309"/>
      <c r="J7" s="1309"/>
      <c r="K7" s="1309"/>
      <c r="L7" s="1309"/>
      <c r="M7" s="1309"/>
      <c r="N7" s="1309"/>
      <c r="O7" s="1309"/>
    </row>
    <row r="8" spans="1:25" s="78" customFormat="1" ht="20.100000000000001" customHeight="1" x14ac:dyDescent="0.25">
      <c r="B8" s="1315" t="s">
        <v>1509</v>
      </c>
      <c r="C8" s="1315"/>
      <c r="D8" s="1315" t="s">
        <v>1510</v>
      </c>
      <c r="E8" s="1315"/>
      <c r="F8" s="1315"/>
      <c r="G8" s="1315" t="s">
        <v>1511</v>
      </c>
      <c r="H8" s="1315"/>
      <c r="I8" s="1315"/>
      <c r="J8" s="1315" t="s">
        <v>1541</v>
      </c>
      <c r="K8" s="1315"/>
      <c r="L8" s="1315"/>
      <c r="M8" s="1315" t="s">
        <v>1670</v>
      </c>
      <c r="N8" s="1315"/>
      <c r="O8" s="1315"/>
    </row>
    <row r="9" spans="1:25" s="68" customFormat="1" ht="14.25" customHeight="1" thickBot="1" x14ac:dyDescent="0.3">
      <c r="A9" s="1320"/>
      <c r="B9" s="1320"/>
      <c r="C9" s="1320"/>
      <c r="D9" s="1320"/>
      <c r="E9" s="1320"/>
      <c r="F9" s="1320"/>
      <c r="G9" s="1320"/>
      <c r="H9" s="1320"/>
      <c r="I9" s="1320"/>
      <c r="J9" s="1320"/>
      <c r="K9" s="1320"/>
      <c r="L9" s="1320"/>
      <c r="M9" s="1320"/>
      <c r="N9" s="1320"/>
      <c r="O9" s="1320"/>
    </row>
    <row r="10" spans="1:25" ht="45.75" thickBot="1" x14ac:dyDescent="0.3">
      <c r="A10" s="107" t="s">
        <v>1797</v>
      </c>
      <c r="B10" s="108" t="s">
        <v>271</v>
      </c>
      <c r="C10" s="108" t="s">
        <v>1539</v>
      </c>
      <c r="D10" s="108" t="s">
        <v>23</v>
      </c>
      <c r="E10" s="108" t="s">
        <v>1540</v>
      </c>
      <c r="F10" s="108" t="s">
        <v>1858</v>
      </c>
      <c r="G10" s="109" t="s">
        <v>26</v>
      </c>
      <c r="H10" s="110" t="s">
        <v>30</v>
      </c>
      <c r="I10" s="110" t="s">
        <v>3</v>
      </c>
      <c r="J10" s="110" t="s">
        <v>4</v>
      </c>
      <c r="K10" s="110" t="s">
        <v>0</v>
      </c>
      <c r="L10" s="110" t="s">
        <v>5</v>
      </c>
      <c r="M10" s="110" t="s">
        <v>2348</v>
      </c>
      <c r="N10" s="110" t="s">
        <v>24</v>
      </c>
      <c r="O10" s="111" t="s">
        <v>25</v>
      </c>
    </row>
    <row r="11" spans="1:25" ht="18" customHeight="1" x14ac:dyDescent="0.25">
      <c r="A11" s="1326" t="s">
        <v>1886</v>
      </c>
      <c r="B11" s="1327"/>
      <c r="C11" s="1327"/>
      <c r="D11" s="1327"/>
      <c r="E11" s="1327"/>
      <c r="F11" s="1327"/>
      <c r="G11" s="1327"/>
      <c r="H11" s="1327"/>
      <c r="I11" s="1327"/>
      <c r="J11" s="1327"/>
      <c r="K11" s="1327"/>
      <c r="L11" s="1327"/>
      <c r="M11" s="1327"/>
      <c r="N11" s="1327"/>
      <c r="O11" s="1328"/>
    </row>
    <row r="12" spans="1:25" ht="18" customHeight="1" x14ac:dyDescent="0.25">
      <c r="A12" s="317" t="str">
        <f>IF(ISBLANK('Table 3-A| Emission Units'!$A$89),"",'Table 3-A| Emission Units'!$A$89&amp;"-"&amp;'Table 3-A| Emission Units'!$B$89)</f>
        <v>17-1</v>
      </c>
      <c r="B12" s="248">
        <f>IF(OR(ISBLANK('Table 3-A| Emission Units'!$C$89),ISTEXT('Table 3-A| Emission Units'!$C$89)),"",'Table 3-A| Emission Units'!$C$89)</f>
        <v>20100102</v>
      </c>
      <c r="C12" s="318">
        <v>9.7999999999999997E-3</v>
      </c>
      <c r="D12" s="247" t="s">
        <v>1506</v>
      </c>
      <c r="E12" s="319">
        <f t="shared" ref="E12:E16" si="0">C12*8760</f>
        <v>85.847999999999999</v>
      </c>
      <c r="F12" s="319" t="s">
        <v>1859</v>
      </c>
      <c r="G12" s="320">
        <f>$E12*42.5</f>
        <v>3648.54</v>
      </c>
      <c r="H12" s="321">
        <f t="shared" ref="H12" si="1">$E12*42.5</f>
        <v>3648.54</v>
      </c>
      <c r="I12" s="321">
        <f>$E12*604</f>
        <v>51852.192000000003</v>
      </c>
      <c r="J12" s="321">
        <f>$E12*39.7</f>
        <v>3408.1656000000003</v>
      </c>
      <c r="K12" s="321">
        <f>$E12*49.3</f>
        <v>4232.3063999999995</v>
      </c>
      <c r="L12" s="321">
        <f>$E12*130</f>
        <v>11160.24</v>
      </c>
      <c r="M12" s="660">
        <f>$E12*22600</f>
        <v>1940164.8</v>
      </c>
      <c r="N12" s="321">
        <v>0</v>
      </c>
      <c r="O12" s="322">
        <f>$E12*0.55044</f>
        <v>47.254173120000004</v>
      </c>
    </row>
    <row r="13" spans="1:25" ht="18" customHeight="1" x14ac:dyDescent="0.25">
      <c r="A13" s="317" t="str">
        <f>IF(ISBLANK('Table 3-A| Emission Units'!$A$90),"",'Table 3-A| Emission Units'!$A$90&amp;"-"&amp;'Table 3-A| Emission Units'!$B$90)</f>
        <v>18-1</v>
      </c>
      <c r="B13" s="248">
        <f>IF(OR(ISBLANK('Table 3-A| Emission Units'!$C$90),ISTEXT('Table 3-A| Emission Units'!$C$90)),"",'Table 3-A| Emission Units'!$C$90)</f>
        <v>10200602</v>
      </c>
      <c r="C13" s="318">
        <v>0.02</v>
      </c>
      <c r="D13" s="247" t="s">
        <v>1505</v>
      </c>
      <c r="E13" s="319">
        <f t="shared" si="0"/>
        <v>175.20000000000002</v>
      </c>
      <c r="F13" s="319" t="s">
        <v>1859</v>
      </c>
      <c r="G13" s="594">
        <f>$E13*7.6</f>
        <v>1331.52</v>
      </c>
      <c r="H13" s="321">
        <f t="shared" ref="H13" si="2">$E13*7.6</f>
        <v>1331.52</v>
      </c>
      <c r="I13" s="595">
        <f>$E13*100</f>
        <v>17520</v>
      </c>
      <c r="J13" s="595">
        <f>$E13*0.6</f>
        <v>105.12</v>
      </c>
      <c r="K13" s="321">
        <f>$E13*5.5</f>
        <v>963.60000000000014</v>
      </c>
      <c r="L13" s="321">
        <f>$E13*84</f>
        <v>14716.800000000001</v>
      </c>
      <c r="M13" s="661">
        <f>$E13*(120000+(2.2*298)+(2.3*25))</f>
        <v>21148935.120000005</v>
      </c>
      <c r="N13" s="595">
        <f>$E13*0.0005</f>
        <v>8.7600000000000011E-2</v>
      </c>
      <c r="O13" s="322">
        <f>$E13*1.88</f>
        <v>329.37600000000003</v>
      </c>
    </row>
    <row r="14" spans="1:25" ht="18" customHeight="1" x14ac:dyDescent="0.25">
      <c r="A14" s="317" t="str">
        <f>IF(ISBLANK('Table 3-A| Emission Units'!$A$91),"",'Table 3-A| Emission Units'!$A$91&amp;"-"&amp;'Table 3-A| Emission Units'!$B$91)</f>
        <v>18-2</v>
      </c>
      <c r="B14" s="248">
        <f>IF(OR(ISBLANK('Table 3-A| Emission Units'!$C$91),ISTEXT('Table 3-A| Emission Units'!$C$91)),"",'Table 3-A| Emission Units'!$C$91)</f>
        <v>10200501</v>
      </c>
      <c r="C14" s="318">
        <v>0.14779999999999999</v>
      </c>
      <c r="D14" s="247" t="s">
        <v>1506</v>
      </c>
      <c r="E14" s="319">
        <f t="shared" si="0"/>
        <v>1294.7279999999998</v>
      </c>
      <c r="F14" s="319" t="s">
        <v>1859</v>
      </c>
      <c r="G14" s="320">
        <f>$E14*1.08</f>
        <v>1398.3062399999999</v>
      </c>
      <c r="H14" s="595">
        <f>$E14*0.83</f>
        <v>1074.6242399999999</v>
      </c>
      <c r="I14" s="321">
        <f>$E14*24</f>
        <v>31073.471999999994</v>
      </c>
      <c r="J14" s="321">
        <f>$E14*(142*0.05)</f>
        <v>9192.5687999999991</v>
      </c>
      <c r="K14" s="595">
        <f>$E14*0.34</f>
        <v>440.20751999999999</v>
      </c>
      <c r="L14" s="595">
        <f>$E14*5</f>
        <v>6473.6399999999994</v>
      </c>
      <c r="M14" s="660">
        <f>$E14*(25000+(0.53*298)+(0.28*25))</f>
        <v>32581752.436319996</v>
      </c>
      <c r="N14" s="321">
        <f>$E14*0.001246</f>
        <v>1.6132310879999998</v>
      </c>
      <c r="O14" s="596">
        <f>$E14*0.24</f>
        <v>310.73471999999992</v>
      </c>
    </row>
    <row r="15" spans="1:25" ht="18" customHeight="1" x14ac:dyDescent="0.25">
      <c r="A15" s="317" t="str">
        <f>IF(ISBLANK('Table 3-A| Emission Units'!$A$92),"",'Table 3-A| Emission Units'!$A$92&amp;"-"&amp;'Table 3-A| Emission Units'!$B$92)</f>
        <v>19-1</v>
      </c>
      <c r="B15" s="248">
        <f>IF(OR(ISBLANK('Table 3-A| Emission Units'!$C$92),ISTEXT('Table 3-A| Emission Units'!$C$92)),"",'Table 3-A| Emission Units'!$C$92)</f>
        <v>40400204</v>
      </c>
      <c r="C15" s="318">
        <v>0.17119999999999999</v>
      </c>
      <c r="D15" s="247" t="s">
        <v>1507</v>
      </c>
      <c r="E15" s="319">
        <f t="shared" si="0"/>
        <v>1499.712</v>
      </c>
      <c r="F15" s="319" t="s">
        <v>1854</v>
      </c>
      <c r="G15" s="320">
        <v>0</v>
      </c>
      <c r="H15" s="321">
        <v>0</v>
      </c>
      <c r="I15" s="321">
        <v>0</v>
      </c>
      <c r="J15" s="321">
        <v>0</v>
      </c>
      <c r="K15" s="323"/>
      <c r="L15" s="323"/>
      <c r="M15" s="323"/>
      <c r="N15" s="323"/>
      <c r="O15" s="471"/>
      <c r="Q15" s="128"/>
      <c r="R15" s="128"/>
      <c r="S15" s="128"/>
      <c r="T15" s="128"/>
      <c r="U15" s="128"/>
      <c r="V15" s="128"/>
      <c r="W15" s="128"/>
      <c r="X15" s="128"/>
      <c r="Y15" s="128"/>
    </row>
    <row r="16" spans="1:25" ht="18" customHeight="1" x14ac:dyDescent="0.25">
      <c r="A16" s="317" t="str">
        <f>IF(ISBLANK('Table 3-A| Emission Units'!$A$93),"",'Table 3-A| Emission Units'!$A$93&amp;"-"&amp;'Table 3-A| Emission Units'!$B$93)</f>
        <v>19-2</v>
      </c>
      <c r="B16" s="248">
        <f>IF(OR(ISBLANK('Table 3-A| Emission Units'!$C$93),ISTEXT('Table 3-A| Emission Units'!$C$93)),"",'Table 3-A| Emission Units'!$C$93)</f>
        <v>40400107</v>
      </c>
      <c r="C16" s="318">
        <v>0.17119999999999999</v>
      </c>
      <c r="D16" s="247" t="s">
        <v>1507</v>
      </c>
      <c r="E16" s="319">
        <f t="shared" si="0"/>
        <v>1499.712</v>
      </c>
      <c r="F16" s="319" t="s">
        <v>1854</v>
      </c>
      <c r="G16" s="320">
        <v>0</v>
      </c>
      <c r="H16" s="321">
        <v>0</v>
      </c>
      <c r="I16" s="321">
        <v>0</v>
      </c>
      <c r="J16" s="321">
        <v>0</v>
      </c>
      <c r="K16" s="323"/>
      <c r="L16" s="323"/>
      <c r="M16" s="323"/>
      <c r="N16" s="323"/>
      <c r="O16" s="471"/>
      <c r="Q16" s="128"/>
      <c r="R16" s="128"/>
      <c r="S16" s="128"/>
      <c r="T16" s="128"/>
      <c r="U16" s="128"/>
      <c r="V16" s="128"/>
      <c r="W16" s="128"/>
      <c r="X16" s="128"/>
      <c r="Y16" s="128"/>
    </row>
    <row r="17" spans="1:25" ht="18" customHeight="1" x14ac:dyDescent="0.25">
      <c r="A17" s="317" t="str">
        <f>IF(ISBLANK('Table 3-A| Emission Units'!$A$94),"",'Table 3-A| Emission Units'!$A$94&amp;"-"&amp;'Table 3-A| Emission Units'!$B$94)</f>
        <v/>
      </c>
      <c r="B17" s="248" t="str">
        <f>IF(OR(ISBLANK('Table 3-A| Emission Units'!$C$94),ISTEXT('Table 3-A| Emission Units'!$C$94)),"",'Table 3-A| Emission Units'!$C$94)</f>
        <v/>
      </c>
      <c r="C17" s="318"/>
      <c r="D17" s="247"/>
      <c r="E17" s="319"/>
      <c r="F17" s="319"/>
      <c r="G17" s="320"/>
      <c r="H17" s="321"/>
      <c r="I17" s="321"/>
      <c r="J17" s="321"/>
      <c r="K17" s="321"/>
      <c r="L17" s="321"/>
      <c r="M17" s="321"/>
      <c r="N17" s="321"/>
      <c r="O17" s="322"/>
      <c r="Q17" s="128"/>
      <c r="R17" s="128"/>
      <c r="S17" s="128"/>
      <c r="T17" s="128"/>
      <c r="U17" s="128"/>
      <c r="V17" s="128"/>
      <c r="W17" s="128"/>
      <c r="X17" s="128"/>
      <c r="Y17" s="128"/>
    </row>
    <row r="18" spans="1:25" s="68" customFormat="1" ht="14.25" customHeight="1" thickBot="1" x14ac:dyDescent="0.3">
      <c r="A18" s="1316"/>
      <c r="B18" s="1316"/>
      <c r="C18" s="1316"/>
      <c r="D18" s="1316"/>
      <c r="E18" s="1316"/>
      <c r="F18" s="1316"/>
      <c r="G18" s="1316"/>
      <c r="H18" s="1316"/>
      <c r="I18" s="1316"/>
      <c r="J18" s="1316"/>
      <c r="K18" s="1316"/>
      <c r="L18" s="1316"/>
      <c r="M18" s="1316"/>
      <c r="N18" s="1316"/>
      <c r="O18" s="1316"/>
    </row>
    <row r="19" spans="1:25" ht="45.75" thickBot="1" x14ac:dyDescent="0.3">
      <c r="A19" s="107" t="s">
        <v>1797</v>
      </c>
      <c r="B19" s="108" t="s">
        <v>271</v>
      </c>
      <c r="C19" s="108" t="s">
        <v>1539</v>
      </c>
      <c r="D19" s="108" t="s">
        <v>23</v>
      </c>
      <c r="E19" s="108" t="s">
        <v>1540</v>
      </c>
      <c r="F19" s="108" t="s">
        <v>1858</v>
      </c>
      <c r="G19" s="109" t="s">
        <v>26</v>
      </c>
      <c r="H19" s="110" t="s">
        <v>30</v>
      </c>
      <c r="I19" s="110" t="s">
        <v>3</v>
      </c>
      <c r="J19" s="110" t="s">
        <v>4</v>
      </c>
      <c r="K19" s="110" t="s">
        <v>0</v>
      </c>
      <c r="L19" s="110" t="s">
        <v>5</v>
      </c>
      <c r="M19" s="110" t="s">
        <v>2348</v>
      </c>
      <c r="N19" s="110" t="s">
        <v>24</v>
      </c>
      <c r="O19" s="111" t="s">
        <v>25</v>
      </c>
    </row>
    <row r="20" spans="1:25" ht="18" customHeight="1" x14ac:dyDescent="0.25">
      <c r="A20" s="1326" t="s">
        <v>1886</v>
      </c>
      <c r="B20" s="1327"/>
      <c r="C20" s="1327"/>
      <c r="D20" s="1327"/>
      <c r="E20" s="1327"/>
      <c r="F20" s="1327"/>
      <c r="G20" s="1327"/>
      <c r="H20" s="1327"/>
      <c r="I20" s="1327"/>
      <c r="J20" s="1327"/>
      <c r="K20" s="1327"/>
      <c r="L20" s="1327"/>
      <c r="M20" s="1327"/>
      <c r="N20" s="1327"/>
      <c r="O20" s="1328"/>
    </row>
    <row r="21" spans="1:25" ht="18" customHeight="1" x14ac:dyDescent="0.25">
      <c r="A21" s="317" t="str">
        <f>IF(ISBLANK('Table 3-A| Emission Units'!$A$89),"",'Table 3-A| Emission Units'!$A$89&amp;"-"&amp;'Table 3-A| Emission Units'!$B$89)</f>
        <v>17-1</v>
      </c>
      <c r="B21" s="248">
        <f>IF(OR(ISBLANK('Table 3-A| Emission Units'!$C$89),ISTEXT('Table 3-A| Emission Units'!$C$89)),"",'Table 3-A| Emission Units'!$C$89)</f>
        <v>20100102</v>
      </c>
      <c r="C21" s="318">
        <v>9.7999999999999997E-3</v>
      </c>
      <c r="D21" s="247" t="s">
        <v>1506</v>
      </c>
      <c r="E21" s="319">
        <f t="shared" ref="E21:E25" si="3">C21*8760</f>
        <v>85.847999999999999</v>
      </c>
      <c r="F21" s="319" t="s">
        <v>1859</v>
      </c>
      <c r="G21" s="320">
        <f>$E21*42.5</f>
        <v>3648.54</v>
      </c>
      <c r="H21" s="321">
        <f t="shared" ref="H21" si="4">$E21*42.5</f>
        <v>3648.54</v>
      </c>
      <c r="I21" s="321">
        <f>$E21*604</f>
        <v>51852.192000000003</v>
      </c>
      <c r="J21" s="321">
        <f>$E21*39.7</f>
        <v>3408.1656000000003</v>
      </c>
      <c r="K21" s="321">
        <f>$E21*49.3</f>
        <v>4232.3063999999995</v>
      </c>
      <c r="L21" s="321">
        <f>$E21*130</f>
        <v>11160.24</v>
      </c>
      <c r="M21" s="321">
        <f>$E21*22600</f>
        <v>1940164.8</v>
      </c>
      <c r="N21" s="321">
        <v>0</v>
      </c>
      <c r="O21" s="322">
        <f>$E21*0.55044</f>
        <v>47.254173120000004</v>
      </c>
    </row>
    <row r="22" spans="1:25" ht="18" customHeight="1" x14ac:dyDescent="0.25">
      <c r="A22" s="317" t="str">
        <f>IF(ISBLANK('Table 3-A| Emission Units'!$A$90),"",'Table 3-A| Emission Units'!$A$90&amp;"-"&amp;'Table 3-A| Emission Units'!$B$90)</f>
        <v>18-1</v>
      </c>
      <c r="B22" s="248">
        <f>IF(OR(ISBLANK('Table 3-A| Emission Units'!$C$90),ISTEXT('Table 3-A| Emission Units'!$C$90)),"",'Table 3-A| Emission Units'!$C$90)</f>
        <v>10200602</v>
      </c>
      <c r="C22" s="318">
        <v>0.02</v>
      </c>
      <c r="D22" s="247" t="s">
        <v>1505</v>
      </c>
      <c r="E22" s="319">
        <f t="shared" si="3"/>
        <v>175.20000000000002</v>
      </c>
      <c r="F22" s="319" t="s">
        <v>1859</v>
      </c>
      <c r="G22" s="594">
        <v>0</v>
      </c>
      <c r="H22" s="321">
        <f t="shared" ref="H22" si="5">$E22*7.6</f>
        <v>1331.52</v>
      </c>
      <c r="I22" s="595">
        <v>0</v>
      </c>
      <c r="J22" s="595">
        <v>0</v>
      </c>
      <c r="K22" s="321">
        <f>$E22*5.5</f>
        <v>963.60000000000014</v>
      </c>
      <c r="L22" s="321">
        <f>$E22*84</f>
        <v>14716.800000000001</v>
      </c>
      <c r="M22" s="595">
        <v>0</v>
      </c>
      <c r="N22" s="595">
        <v>0</v>
      </c>
      <c r="O22" s="322">
        <f>$E22*1.88</f>
        <v>329.37600000000003</v>
      </c>
    </row>
    <row r="23" spans="1:25" ht="18" customHeight="1" x14ac:dyDescent="0.25">
      <c r="A23" s="317" t="str">
        <f>IF(ISBLANK('Table 3-A| Emission Units'!$A$91),"",'Table 3-A| Emission Units'!$A$91&amp;"-"&amp;'Table 3-A| Emission Units'!$B$91)</f>
        <v>18-2</v>
      </c>
      <c r="B23" s="248">
        <f>IF(OR(ISBLANK('Table 3-A| Emission Units'!$C$91),ISTEXT('Table 3-A| Emission Units'!$C$91)),"",'Table 3-A| Emission Units'!$C$91)</f>
        <v>10200501</v>
      </c>
      <c r="C23" s="318">
        <v>0.14779999999999999</v>
      </c>
      <c r="D23" s="247" t="s">
        <v>1506</v>
      </c>
      <c r="E23" s="319">
        <f t="shared" si="3"/>
        <v>1294.7279999999998</v>
      </c>
      <c r="F23" s="319" t="s">
        <v>1859</v>
      </c>
      <c r="G23" s="320">
        <f>$E23*1.08</f>
        <v>1398.3062399999999</v>
      </c>
      <c r="H23" s="595">
        <v>0</v>
      </c>
      <c r="I23" s="321">
        <f>$E23*24</f>
        <v>31073.471999999994</v>
      </c>
      <c r="J23" s="321">
        <f>$E23*(142*0.05)</f>
        <v>9192.5687999999991</v>
      </c>
      <c r="K23" s="595">
        <v>0</v>
      </c>
      <c r="L23" s="595">
        <v>0</v>
      </c>
      <c r="M23" s="321">
        <f>$E23*(25000+(0.53*298)+(0.28*25))</f>
        <v>32581752.436319996</v>
      </c>
      <c r="N23" s="321">
        <f>$E23*0.001246</f>
        <v>1.6132310879999998</v>
      </c>
      <c r="O23" s="596">
        <v>0</v>
      </c>
    </row>
    <row r="24" spans="1:25" ht="18" customHeight="1" x14ac:dyDescent="0.25">
      <c r="A24" s="317" t="str">
        <f>IF(ISBLANK('Table 3-A| Emission Units'!$A$92),"",'Table 3-A| Emission Units'!$A$92&amp;"-"&amp;'Table 3-A| Emission Units'!$B$92)</f>
        <v>19-1</v>
      </c>
      <c r="B24" s="248">
        <f>IF(OR(ISBLANK('Table 3-A| Emission Units'!$C$92),ISTEXT('Table 3-A| Emission Units'!$C$92)),"",'Table 3-A| Emission Units'!$C$92)</f>
        <v>40400204</v>
      </c>
      <c r="C24" s="319">
        <v>100</v>
      </c>
      <c r="D24" s="247" t="s">
        <v>1507</v>
      </c>
      <c r="E24" s="319">
        <f t="shared" si="3"/>
        <v>876000</v>
      </c>
      <c r="F24" s="319" t="s">
        <v>1854</v>
      </c>
      <c r="G24" s="320">
        <v>0</v>
      </c>
      <c r="H24" s="321">
        <v>0</v>
      </c>
      <c r="I24" s="321">
        <v>0</v>
      </c>
      <c r="J24" s="321">
        <v>0</v>
      </c>
      <c r="K24" s="321">
        <f>E24/1000*10</f>
        <v>8760</v>
      </c>
      <c r="L24" s="321">
        <v>0</v>
      </c>
      <c r="M24" s="321">
        <v>0</v>
      </c>
      <c r="N24" s="321">
        <v>0</v>
      </c>
      <c r="O24" s="322">
        <v>0</v>
      </c>
      <c r="Q24" s="128"/>
      <c r="R24" s="128"/>
      <c r="S24" s="128"/>
      <c r="T24" s="128"/>
      <c r="U24" s="128"/>
      <c r="V24" s="128"/>
      <c r="W24" s="128"/>
      <c r="X24" s="128"/>
      <c r="Y24" s="128"/>
    </row>
    <row r="25" spans="1:25" ht="18" customHeight="1" x14ac:dyDescent="0.25">
      <c r="A25" s="317" t="str">
        <f>IF(ISBLANK('Table 3-A| Emission Units'!$A$93),"",'Table 3-A| Emission Units'!$A$93&amp;"-"&amp;'Table 3-A| Emission Units'!$B$93)</f>
        <v>19-2</v>
      </c>
      <c r="B25" s="248">
        <f>IF(OR(ISBLANK('Table 3-A| Emission Units'!$C$93),ISTEXT('Table 3-A| Emission Units'!$C$93)),"",'Table 3-A| Emission Units'!$C$93)</f>
        <v>40400107</v>
      </c>
      <c r="C25" s="319">
        <v>100</v>
      </c>
      <c r="D25" s="247" t="s">
        <v>1507</v>
      </c>
      <c r="E25" s="319">
        <f t="shared" si="3"/>
        <v>876000</v>
      </c>
      <c r="F25" s="319" t="s">
        <v>1854</v>
      </c>
      <c r="G25" s="320">
        <v>0</v>
      </c>
      <c r="H25" s="321">
        <v>0</v>
      </c>
      <c r="I25" s="321">
        <v>0</v>
      </c>
      <c r="J25" s="321">
        <v>0</v>
      </c>
      <c r="K25" s="321">
        <f>E25/1000*10</f>
        <v>8760</v>
      </c>
      <c r="L25" s="321">
        <v>0</v>
      </c>
      <c r="M25" s="321">
        <v>0</v>
      </c>
      <c r="N25" s="321">
        <v>0</v>
      </c>
      <c r="O25" s="322">
        <v>0</v>
      </c>
      <c r="Q25" s="128"/>
      <c r="R25" s="128"/>
      <c r="S25" s="128"/>
      <c r="T25" s="128"/>
      <c r="U25" s="128"/>
      <c r="V25" s="128"/>
      <c r="W25" s="128"/>
      <c r="X25" s="128"/>
      <c r="Y25" s="128"/>
    </row>
    <row r="26" spans="1:25" ht="18" customHeight="1" x14ac:dyDescent="0.25">
      <c r="A26" s="317" t="str">
        <f>IF(ISBLANK('Table 3-A| Emission Units'!$A$94),"",'Table 3-A| Emission Units'!$A$94&amp;"-"&amp;'Table 3-A| Emission Units'!$B$94)</f>
        <v/>
      </c>
      <c r="B26" s="248" t="str">
        <f>IF(OR(ISBLANK('Table 3-A| Emission Units'!$C$94),ISTEXT('Table 3-A| Emission Units'!$C$94)),"",'Table 3-A| Emission Units'!$C$94)</f>
        <v/>
      </c>
      <c r="C26" s="318"/>
      <c r="D26" s="247"/>
      <c r="E26" s="319"/>
      <c r="F26" s="319"/>
      <c r="G26" s="320"/>
      <c r="H26" s="321"/>
      <c r="I26" s="321"/>
      <c r="J26" s="321"/>
      <c r="K26" s="321"/>
      <c r="L26" s="321"/>
      <c r="M26" s="321"/>
      <c r="N26" s="321"/>
      <c r="O26" s="322"/>
      <c r="Q26" s="128"/>
      <c r="R26" s="128"/>
      <c r="S26" s="128"/>
      <c r="T26" s="128"/>
      <c r="U26" s="128"/>
      <c r="V26" s="128"/>
      <c r="W26" s="128"/>
      <c r="X26" s="128"/>
      <c r="Y26" s="128"/>
    </row>
    <row r="27" spans="1:25" s="68" customFormat="1" ht="39.950000000000003" customHeight="1" thickBot="1" x14ac:dyDescent="0.3">
      <c r="A27" s="1316" t="s">
        <v>2149</v>
      </c>
      <c r="B27" s="1316"/>
      <c r="C27" s="1316"/>
      <c r="D27" s="1316"/>
      <c r="E27" s="1316"/>
      <c r="F27" s="1316"/>
      <c r="G27" s="1316"/>
      <c r="H27" s="1316"/>
      <c r="I27" s="1316"/>
      <c r="J27" s="1316"/>
      <c r="K27" s="1316"/>
      <c r="L27" s="1316"/>
      <c r="M27" s="1316"/>
      <c r="N27" s="1316"/>
      <c r="O27" s="1316"/>
    </row>
    <row r="28" spans="1:25" s="68" customFormat="1" ht="27.75" customHeight="1" thickBot="1" x14ac:dyDescent="0.3">
      <c r="A28" s="1241" t="s">
        <v>1443</v>
      </c>
      <c r="B28" s="1211"/>
      <c r="C28" s="1211"/>
      <c r="D28" s="1211"/>
      <c r="E28" s="1211"/>
      <c r="F28" s="1211"/>
      <c r="G28" s="1211"/>
      <c r="H28" s="1211"/>
      <c r="I28" s="1211"/>
      <c r="J28" s="1211"/>
      <c r="K28" s="1211"/>
      <c r="L28" s="1211"/>
      <c r="M28" s="1211"/>
      <c r="N28" s="1211"/>
      <c r="O28" s="1242"/>
    </row>
    <row r="29" spans="1:25" s="68" customFormat="1" ht="9" customHeight="1" thickBot="1" x14ac:dyDescent="0.3">
      <c r="A29" s="78"/>
      <c r="B29" s="78"/>
      <c r="C29" s="78"/>
      <c r="D29" s="78"/>
      <c r="E29" s="78"/>
      <c r="F29" s="78"/>
      <c r="G29" s="78"/>
      <c r="H29" s="78"/>
      <c r="I29" s="78"/>
      <c r="J29" s="78"/>
      <c r="K29" s="78"/>
      <c r="L29" s="78"/>
      <c r="M29" s="78"/>
    </row>
    <row r="30" spans="1:25" s="68" customFormat="1" ht="18" customHeight="1" thickBot="1" x14ac:dyDescent="0.3">
      <c r="A30" s="1247" t="s">
        <v>1542</v>
      </c>
      <c r="B30" s="1341"/>
      <c r="C30" s="1341"/>
      <c r="D30" s="1248"/>
      <c r="E30" s="1324"/>
      <c r="F30" s="1325"/>
      <c r="I30" s="1247" t="s">
        <v>1543</v>
      </c>
      <c r="J30" s="1341"/>
      <c r="K30" s="1341"/>
      <c r="L30" s="1341"/>
      <c r="M30" s="1248"/>
      <c r="N30" s="1317">
        <f>$E$30/1025</f>
        <v>0</v>
      </c>
      <c r="O30" s="1318"/>
      <c r="T30" s="48" t="s">
        <v>1854</v>
      </c>
      <c r="V30" s="68" t="s">
        <v>2134</v>
      </c>
      <c r="W30" s="68" t="s">
        <v>1505</v>
      </c>
    </row>
    <row r="31" spans="1:25" s="68" customFormat="1" ht="18" customHeight="1" thickBot="1" x14ac:dyDescent="0.3">
      <c r="A31" s="78"/>
      <c r="B31" s="78"/>
      <c r="C31" s="78"/>
      <c r="D31" s="491"/>
      <c r="E31" s="491"/>
      <c r="F31" s="491"/>
      <c r="I31" s="1247" t="s">
        <v>1544</v>
      </c>
      <c r="J31" s="1341"/>
      <c r="K31" s="1341"/>
      <c r="L31" s="1341"/>
      <c r="M31" s="1248"/>
      <c r="N31" s="1317">
        <f>($E$30*1000000)/(138690*1000)</f>
        <v>0</v>
      </c>
      <c r="O31" s="1318"/>
      <c r="T31" s="48" t="s">
        <v>1855</v>
      </c>
      <c r="V31" s="68" t="s">
        <v>2009</v>
      </c>
      <c r="W31" s="68" t="s">
        <v>2136</v>
      </c>
    </row>
    <row r="32" spans="1:25" s="68" customFormat="1" ht="18" customHeight="1" thickBot="1" x14ac:dyDescent="0.3">
      <c r="A32" s="78"/>
      <c r="B32" s="78"/>
      <c r="C32" s="78"/>
      <c r="D32" s="78"/>
      <c r="E32" s="78"/>
      <c r="F32" s="78"/>
      <c r="I32" s="1247" t="s">
        <v>1545</v>
      </c>
      <c r="J32" s="1341"/>
      <c r="K32" s="1341"/>
      <c r="L32" s="1341"/>
      <c r="M32" s="1248"/>
      <c r="N32" s="1317">
        <f>($E$30*1000000)/(135000*1000)</f>
        <v>0</v>
      </c>
      <c r="O32" s="1318"/>
      <c r="T32" s="48" t="s">
        <v>1856</v>
      </c>
    </row>
    <row r="33" spans="1:57" s="68" customFormat="1" ht="18" customHeight="1" thickBot="1" x14ac:dyDescent="0.3">
      <c r="A33" s="78"/>
      <c r="B33" s="78"/>
      <c r="C33" s="78"/>
      <c r="D33" s="78"/>
      <c r="E33" s="78"/>
      <c r="F33" s="78"/>
      <c r="I33" s="1247" t="s">
        <v>1546</v>
      </c>
      <c r="J33" s="1341"/>
      <c r="K33" s="1341"/>
      <c r="L33" s="1341"/>
      <c r="M33" s="1248"/>
      <c r="N33" s="1317">
        <f>($E$30*1000000)/(125071*1000)</f>
        <v>0</v>
      </c>
      <c r="O33" s="1318"/>
      <c r="T33" s="48" t="s">
        <v>1857</v>
      </c>
    </row>
    <row r="34" spans="1:57" s="68" customFormat="1" ht="18" customHeight="1" thickBot="1" x14ac:dyDescent="0.3">
      <c r="A34" s="78"/>
      <c r="B34" s="78"/>
      <c r="C34" s="78"/>
      <c r="D34" s="78"/>
      <c r="E34" s="78"/>
      <c r="F34" s="78"/>
      <c r="I34" s="1247" t="s">
        <v>1547</v>
      </c>
      <c r="J34" s="1341"/>
      <c r="K34" s="1341"/>
      <c r="L34" s="1341"/>
      <c r="M34" s="1248"/>
      <c r="N34" s="1317">
        <f>($E$30*1000000)/(91333*1000)</f>
        <v>0</v>
      </c>
      <c r="O34" s="1318"/>
      <c r="T34" s="48" t="s">
        <v>1568</v>
      </c>
    </row>
    <row r="35" spans="1:57" s="68" customFormat="1" ht="18" customHeight="1" thickBot="1" x14ac:dyDescent="0.3">
      <c r="A35" s="78"/>
      <c r="B35" s="78"/>
      <c r="C35" s="78"/>
      <c r="D35" s="78"/>
      <c r="E35" s="78"/>
      <c r="F35" s="78"/>
      <c r="I35" s="1247" t="s">
        <v>1548</v>
      </c>
      <c r="J35" s="1341"/>
      <c r="K35" s="1341"/>
      <c r="L35" s="1341"/>
      <c r="M35" s="1248"/>
      <c r="N35" s="1317">
        <f>($E$30*1000000)/(149690*1000)</f>
        <v>0</v>
      </c>
      <c r="O35" s="1318"/>
    </row>
    <row r="36" spans="1:57" s="68" customFormat="1" ht="18" customHeight="1" thickBot="1" x14ac:dyDescent="0.3">
      <c r="A36" s="1247" t="s">
        <v>1550</v>
      </c>
      <c r="B36" s="1341"/>
      <c r="C36" s="1341"/>
      <c r="D36" s="1341"/>
      <c r="E36" s="1341"/>
      <c r="F36" s="1248"/>
      <c r="G36" s="1322"/>
      <c r="H36" s="1323"/>
      <c r="I36" s="1247" t="s">
        <v>1549</v>
      </c>
      <c r="J36" s="1341"/>
      <c r="K36" s="1341"/>
      <c r="L36" s="1341"/>
      <c r="M36" s="1248"/>
      <c r="N36" s="1317">
        <f>IFERROR((($E$30*1000000)/$G$36)/2000,0)</f>
        <v>0</v>
      </c>
      <c r="O36" s="1318"/>
    </row>
    <row r="37" spans="1:57" s="68" customFormat="1" ht="35.1" customHeight="1" thickBot="1" x14ac:dyDescent="0.3">
      <c r="A37" s="1314"/>
      <c r="B37" s="1314"/>
      <c r="C37" s="1314"/>
      <c r="D37" s="1314"/>
      <c r="E37" s="1314"/>
      <c r="F37" s="1314"/>
      <c r="G37" s="1314"/>
      <c r="H37" s="1314"/>
      <c r="I37" s="1314"/>
      <c r="J37" s="1314"/>
      <c r="K37" s="1314"/>
      <c r="L37" s="1314"/>
      <c r="M37" s="1314"/>
      <c r="N37" s="1314"/>
      <c r="O37" s="1314"/>
    </row>
    <row r="38" spans="1:57" s="77" customFormat="1" ht="19.5" thickBot="1" x14ac:dyDescent="0.3">
      <c r="A38" s="1211" t="s">
        <v>1422</v>
      </c>
      <c r="B38" s="1211"/>
      <c r="C38" s="1211"/>
      <c r="D38" s="1211"/>
      <c r="E38" s="1211"/>
      <c r="F38" s="1211"/>
      <c r="G38" s="1211"/>
      <c r="H38" s="1211"/>
      <c r="I38" s="1211"/>
      <c r="J38" s="1211"/>
      <c r="K38" s="1211"/>
      <c r="L38" s="1211"/>
      <c r="M38" s="1211"/>
      <c r="N38" s="1211"/>
      <c r="O38" s="1211"/>
    </row>
    <row r="39" spans="1:57" ht="60" customHeight="1" x14ac:dyDescent="0.25">
      <c r="A39" s="1348"/>
      <c r="B39" s="1348"/>
      <c r="C39" s="1348"/>
      <c r="D39" s="1348"/>
      <c r="E39" s="1348"/>
      <c r="F39" s="1348"/>
      <c r="G39" s="1348"/>
      <c r="H39" s="1348"/>
      <c r="I39" s="1348"/>
      <c r="J39" s="1348"/>
      <c r="K39" s="1348"/>
      <c r="L39" s="1348"/>
      <c r="M39" s="1348"/>
      <c r="N39" s="1348"/>
      <c r="O39" s="1348"/>
    </row>
    <row r="40" spans="1:57" ht="24.95" customHeight="1" x14ac:dyDescent="0.25">
      <c r="A40" s="1347" t="s">
        <v>1405</v>
      </c>
      <c r="B40" s="1347"/>
      <c r="C40" s="1347"/>
      <c r="D40" s="1347"/>
      <c r="E40" s="1347"/>
      <c r="F40" s="1347"/>
      <c r="G40" s="1347"/>
      <c r="H40" s="1347"/>
      <c r="I40" s="1347"/>
      <c r="J40" s="1347"/>
      <c r="K40" s="1347"/>
      <c r="L40" s="1347"/>
      <c r="M40" s="1347"/>
      <c r="N40" s="1347"/>
      <c r="O40" s="1347"/>
    </row>
    <row r="41" spans="1:57" ht="24.95" customHeight="1" thickBot="1" x14ac:dyDescent="0.25">
      <c r="A41" s="1002" t="s">
        <v>2159</v>
      </c>
      <c r="B41" s="1002"/>
      <c r="C41" s="1002"/>
      <c r="D41" s="1002"/>
      <c r="E41" s="1002"/>
      <c r="F41" s="1002"/>
      <c r="G41" s="1002"/>
      <c r="H41" s="1002"/>
      <c r="I41" s="1002"/>
      <c r="J41" s="1002"/>
      <c r="K41" s="1002"/>
      <c r="L41" s="1002"/>
      <c r="M41" s="1002"/>
      <c r="N41" s="1002"/>
      <c r="O41" s="1002"/>
      <c r="AM41" s="770">
        <v>1</v>
      </c>
      <c r="AN41" s="770">
        <v>2</v>
      </c>
      <c r="AO41" s="770">
        <v>3</v>
      </c>
      <c r="AP41" s="770">
        <v>4</v>
      </c>
      <c r="AQ41" s="770">
        <v>5</v>
      </c>
      <c r="AR41" s="770">
        <v>6</v>
      </c>
      <c r="AS41" s="770">
        <v>7</v>
      </c>
      <c r="AT41" s="770">
        <v>8</v>
      </c>
      <c r="AU41" s="770">
        <v>9</v>
      </c>
      <c r="AV41" s="770">
        <v>10</v>
      </c>
      <c r="AW41" s="770">
        <v>11</v>
      </c>
      <c r="AX41" s="770">
        <v>12</v>
      </c>
    </row>
    <row r="42" spans="1:57" s="130" customFormat="1" ht="30" customHeight="1" thickBot="1" x14ac:dyDescent="0.3">
      <c r="A42" s="1346" t="s">
        <v>1512</v>
      </c>
      <c r="B42" s="1346"/>
      <c r="C42" s="1346"/>
      <c r="D42" s="1346"/>
      <c r="E42" s="1346"/>
      <c r="F42" s="1346"/>
      <c r="G42" s="1346"/>
      <c r="H42" s="1346"/>
      <c r="I42" s="1346"/>
      <c r="J42" s="1346"/>
      <c r="K42" s="1346"/>
      <c r="L42" s="1346"/>
      <c r="M42" s="1346"/>
      <c r="N42" s="830"/>
      <c r="O42" s="843" t="str">
        <f>"Ver."&amp;" "&amp;TEXT(Introduction!$M$3,"MM/YYYY")</f>
        <v>Ver. 01/2025</v>
      </c>
      <c r="S42" s="1221" t="s">
        <v>2324</v>
      </c>
      <c r="T42" s="1342"/>
      <c r="U42" s="1342"/>
      <c r="V42" s="1342"/>
      <c r="W42" s="1342"/>
      <c r="X42" s="1342"/>
      <c r="Y42" s="1342"/>
      <c r="Z42" s="1342"/>
      <c r="AA42" s="1222"/>
      <c r="AC42" s="1221" t="s">
        <v>2325</v>
      </c>
      <c r="AD42" s="1342"/>
      <c r="AE42" s="1342"/>
      <c r="AF42" s="1342"/>
      <c r="AG42" s="1342"/>
      <c r="AH42" s="1342"/>
      <c r="AI42" s="1342"/>
      <c r="AJ42" s="1342"/>
      <c r="AK42" s="1222"/>
      <c r="AM42" s="1221" t="s">
        <v>2011</v>
      </c>
      <c r="AN42" s="1342"/>
      <c r="AO42" s="1342"/>
      <c r="AP42" s="1342"/>
      <c r="AQ42" s="1342"/>
      <c r="AR42" s="1342"/>
      <c r="AS42" s="1342"/>
      <c r="AT42" s="1342"/>
      <c r="AU42" s="1342"/>
      <c r="AV42" s="1342"/>
      <c r="AW42" s="1342"/>
      <c r="AX42" s="1222"/>
    </row>
    <row r="43" spans="1:57" ht="45.75" customHeight="1" thickBot="1" x14ac:dyDescent="0.3">
      <c r="A43" s="801" t="s">
        <v>1797</v>
      </c>
      <c r="B43" s="802" t="s">
        <v>271</v>
      </c>
      <c r="C43" s="802" t="s">
        <v>1539</v>
      </c>
      <c r="D43" s="802" t="s">
        <v>23</v>
      </c>
      <c r="E43" s="802" t="s">
        <v>1540</v>
      </c>
      <c r="F43" s="802" t="s">
        <v>1858</v>
      </c>
      <c r="G43" s="803" t="s">
        <v>26</v>
      </c>
      <c r="H43" s="800" t="s">
        <v>30</v>
      </c>
      <c r="I43" s="800" t="s">
        <v>3</v>
      </c>
      <c r="J43" s="800" t="s">
        <v>4</v>
      </c>
      <c r="K43" s="800" t="s">
        <v>0</v>
      </c>
      <c r="L43" s="800" t="s">
        <v>5</v>
      </c>
      <c r="M43" s="800" t="s">
        <v>2348</v>
      </c>
      <c r="N43" s="800" t="s">
        <v>24</v>
      </c>
      <c r="O43" s="804" t="s">
        <v>25</v>
      </c>
      <c r="S43" s="583" t="s">
        <v>26</v>
      </c>
      <c r="T43" s="110" t="s">
        <v>30</v>
      </c>
      <c r="U43" s="110" t="s">
        <v>3</v>
      </c>
      <c r="V43" s="110" t="s">
        <v>4</v>
      </c>
      <c r="W43" s="110" t="s">
        <v>0</v>
      </c>
      <c r="X43" s="110" t="s">
        <v>5</v>
      </c>
      <c r="Y43" s="110" t="s">
        <v>2348</v>
      </c>
      <c r="Z43" s="110" t="s">
        <v>24</v>
      </c>
      <c r="AA43" s="111" t="s">
        <v>25</v>
      </c>
      <c r="AC43" s="583" t="s">
        <v>26</v>
      </c>
      <c r="AD43" s="110" t="s">
        <v>30</v>
      </c>
      <c r="AE43" s="110" t="s">
        <v>3</v>
      </c>
      <c r="AF43" s="110" t="s">
        <v>4</v>
      </c>
      <c r="AG43" s="110" t="s">
        <v>0</v>
      </c>
      <c r="AH43" s="110" t="s">
        <v>5</v>
      </c>
      <c r="AI43" s="110" t="s">
        <v>2348</v>
      </c>
      <c r="AJ43" s="110" t="s">
        <v>24</v>
      </c>
      <c r="AK43" s="111" t="s">
        <v>25</v>
      </c>
      <c r="AM43" s="108" t="s">
        <v>271</v>
      </c>
      <c r="AN43" s="681" t="s">
        <v>2010</v>
      </c>
      <c r="AO43" s="583" t="s">
        <v>26</v>
      </c>
      <c r="AP43" s="586" t="s">
        <v>30</v>
      </c>
      <c r="AQ43" s="110" t="s">
        <v>3</v>
      </c>
      <c r="AR43" s="110" t="s">
        <v>4</v>
      </c>
      <c r="AS43" s="110" t="s">
        <v>0</v>
      </c>
      <c r="AT43" s="110" t="s">
        <v>5</v>
      </c>
      <c r="AU43" s="461" t="s">
        <v>1798</v>
      </c>
      <c r="AV43" s="110" t="s">
        <v>24</v>
      </c>
      <c r="AW43" s="111" t="s">
        <v>25</v>
      </c>
      <c r="AX43" s="111" t="s">
        <v>2285</v>
      </c>
    </row>
    <row r="44" spans="1:57" ht="18" customHeight="1" x14ac:dyDescent="0.25">
      <c r="A44" s="1335" t="str">
        <f>IF('Table 3-A| Emission Units'!$A102=0,"",'Table 3-A| Emission Units'!A102)</f>
        <v>Boiler Emission Units</v>
      </c>
      <c r="B44" s="1336" t="str">
        <f>IF('Table 3-A| Emission Units'!$A102=0,"",'Table 3-A| Emission Units'!B102&amp;"-"&amp;'Table 3-A| Emission Units'!C102)</f>
        <v>-</v>
      </c>
      <c r="C44" s="1336" t="str">
        <f>IF('Table 3-A| Emission Units'!$A102=0,"",'Table 3-A| Emission Units'!C102&amp;"-"&amp;'Table 3-A| Emission Units'!D102)</f>
        <v>-</v>
      </c>
      <c r="D44" s="1336" t="str">
        <f>IF('Table 3-A| Emission Units'!$A102=0,"",'Table 3-A| Emission Units'!D102&amp;"-"&amp;'Table 3-A| Emission Units'!E102)</f>
        <v>-</v>
      </c>
      <c r="E44" s="1336" t="str">
        <f>IF('Table 3-A| Emission Units'!$A102=0,"",'Table 3-A| Emission Units'!E102&amp;"-"&amp;'Table 3-A| Emission Units'!F102)</f>
        <v>-</v>
      </c>
      <c r="F44" s="1336" t="str">
        <f>IF('Table 3-A| Emission Units'!$A102=0,"",'Table 3-A| Emission Units'!F102&amp;"-"&amp;'Table 3-A| Emission Units'!G102)</f>
        <v>-</v>
      </c>
      <c r="G44" s="1336" t="str">
        <f>IF('Table 3-A| Emission Units'!$A102=0,"",'Table 3-A| Emission Units'!G102&amp;"-"&amp;'Table 3-A| Emission Units'!H102)</f>
        <v>-</v>
      </c>
      <c r="H44" s="1336" t="str">
        <f>IF('Table 3-A| Emission Units'!$A102=0,"",'Table 3-A| Emission Units'!H102&amp;"-"&amp;'Table 3-A| Emission Units'!I102)</f>
        <v>-</v>
      </c>
      <c r="I44" s="1336" t="str">
        <f>IF('Table 3-A| Emission Units'!$A102=0,"",'Table 3-A| Emission Units'!I102&amp;"-"&amp;'Table 3-A| Emission Units'!J102)</f>
        <v>-</v>
      </c>
      <c r="J44" s="1336" t="str">
        <f>IF('Table 3-A| Emission Units'!$A102=0,"",'Table 3-A| Emission Units'!J102&amp;"-"&amp;'Table 3-A| Emission Units'!K102)</f>
        <v>-</v>
      </c>
      <c r="K44" s="1336" t="str">
        <f>IF('Table 3-A| Emission Units'!$A102=0,"",'Table 3-A| Emission Units'!K102&amp;"-"&amp;'Table 3-A| Emission Units'!L102)</f>
        <v>-</v>
      </c>
      <c r="L44" s="1336" t="str">
        <f>IF('Table 3-A| Emission Units'!$A102=0,"",'Table 3-A| Emission Units'!L102&amp;"-"&amp;'Table 3-A| Emission Units'!M102)</f>
        <v>-</v>
      </c>
      <c r="M44" s="1336" t="str">
        <f>IF('Table 3-A| Emission Units'!$A102=0,"",'Table 3-A| Emission Units'!M102&amp;"-"&amp;'Table 3-A| Emission Units'!N102)</f>
        <v>-</v>
      </c>
      <c r="N44" s="1336" t="str">
        <f>IF('Table 3-A| Emission Units'!$A102=0,"",'Table 3-A| Emission Units'!N102&amp;"-"&amp;'Table 3-A| Emission Units'!O102)</f>
        <v>-</v>
      </c>
      <c r="O44" s="1337" t="str">
        <f>IF('Table 3-A| Emission Units'!$A102=0,"",'Table 3-A| Emission Units'!O102&amp;"-"&amp;'Table 3-A| Emission Units'!P102)</f>
        <v>-</v>
      </c>
      <c r="S44" s="1338"/>
      <c r="T44" s="1339"/>
      <c r="U44" s="1339"/>
      <c r="V44" s="1339"/>
      <c r="W44" s="1339"/>
      <c r="X44" s="1339"/>
      <c r="Y44" s="1339"/>
      <c r="Z44" s="1339"/>
      <c r="AA44" s="1340"/>
      <c r="AC44" s="1338"/>
      <c r="AD44" s="1339"/>
      <c r="AE44" s="1339"/>
      <c r="AF44" s="1339"/>
      <c r="AG44" s="1339"/>
      <c r="AH44" s="1339"/>
      <c r="AI44" s="1339"/>
      <c r="AJ44" s="1339"/>
      <c r="AK44" s="1340"/>
      <c r="AM44" s="66">
        <v>10200204</v>
      </c>
      <c r="AN44" s="68" t="s">
        <v>2316</v>
      </c>
      <c r="AO44" s="761">
        <v>0.78</v>
      </c>
      <c r="AP44" s="761">
        <v>0.31</v>
      </c>
      <c r="AQ44" s="762">
        <v>2.185792349726776E-3</v>
      </c>
      <c r="AR44" s="763">
        <v>2.08</v>
      </c>
      <c r="AS44" s="762">
        <v>2.7322404371584699E-3</v>
      </c>
      <c r="AT44" s="762">
        <v>0.27</v>
      </c>
      <c r="AU44" s="762">
        <f>250+(0.0025*25)+(0.00167*298)</f>
        <v>250.56016</v>
      </c>
      <c r="AV44" s="629">
        <v>5.0699999999999996E-4</v>
      </c>
      <c r="AW44" s="629">
        <v>7.6656000000000002E-2</v>
      </c>
      <c r="AX44" s="756" t="s">
        <v>2284</v>
      </c>
      <c r="AZ44" s="68"/>
      <c r="BA44" s="66"/>
      <c r="BB44" s="68"/>
    </row>
    <row r="45" spans="1:57" ht="18" customHeight="1" x14ac:dyDescent="0.25">
      <c r="A45" s="302">
        <f>IF('Table 3-A| Emission Units'!$A103=0,0,'Table 3-A| Emission Units'!A103&amp;"-"&amp;'Table 3-A| Emission Units'!B103)</f>
        <v>0</v>
      </c>
      <c r="B45" s="303">
        <f ca="1">IF(ISTEXT('Table 3-A| Emission Units'!$C103),"See Misc. Units",'Table 3-A| Emission Units'!$C103)</f>
        <v>0</v>
      </c>
      <c r="C45" s="1352">
        <f>IFERROR('Table 3-A| Emission Units'!$E$14,0)</f>
        <v>0</v>
      </c>
      <c r="D45" s="1355" t="str">
        <f ca="1">IFERROR(VLOOKUP($B45,$AM$44:$AX$107,12,FALSE),"")</f>
        <v/>
      </c>
      <c r="E45" s="1352">
        <f t="shared" ref="E45:E54" si="6">IFERROR(IF(A45=0,0,C45*8760),"")</f>
        <v>0</v>
      </c>
      <c r="F45" s="1352" t="s">
        <v>1859</v>
      </c>
      <c r="G45" s="1358">
        <f ca="1">LARGE(S45:S47,1)</f>
        <v>0</v>
      </c>
      <c r="H45" s="1361">
        <f t="shared" ref="H45:O45" ca="1" si="7">LARGE(T45:T47,1)</f>
        <v>0</v>
      </c>
      <c r="I45" s="1361">
        <f t="shared" ca="1" si="7"/>
        <v>0</v>
      </c>
      <c r="J45" s="1361">
        <f t="shared" ca="1" si="7"/>
        <v>0</v>
      </c>
      <c r="K45" s="1361">
        <f t="shared" ca="1" si="7"/>
        <v>0</v>
      </c>
      <c r="L45" s="1361">
        <f t="shared" ca="1" si="7"/>
        <v>0</v>
      </c>
      <c r="M45" s="1361">
        <f t="shared" ca="1" si="7"/>
        <v>0</v>
      </c>
      <c r="N45" s="1361">
        <f t="shared" ca="1" si="7"/>
        <v>0</v>
      </c>
      <c r="O45" s="1343">
        <f t="shared" ca="1" si="7"/>
        <v>0</v>
      </c>
      <c r="S45" s="587">
        <f ca="1">IFERROR($E45*AC45,0)</f>
        <v>0</v>
      </c>
      <c r="T45" s="585">
        <f t="shared" ref="T45:AA45" ca="1" si="8">IFERROR($E45*AD45,0)</f>
        <v>0</v>
      </c>
      <c r="U45" s="585">
        <f t="shared" ca="1" si="8"/>
        <v>0</v>
      </c>
      <c r="V45" s="585">
        <f t="shared" ca="1" si="8"/>
        <v>0</v>
      </c>
      <c r="W45" s="585">
        <f t="shared" ca="1" si="8"/>
        <v>0</v>
      </c>
      <c r="X45" s="585">
        <f t="shared" ca="1" si="8"/>
        <v>0</v>
      </c>
      <c r="Y45" s="585">
        <f t="shared" ca="1" si="8"/>
        <v>0</v>
      </c>
      <c r="Z45" s="585">
        <f t="shared" ca="1" si="8"/>
        <v>0</v>
      </c>
      <c r="AA45" s="588">
        <f t="shared" ca="1" si="8"/>
        <v>0</v>
      </c>
      <c r="AC45" s="587">
        <f ca="1">IFERROR(IF(OR($B45=$AM$45,$B45=$AM$47,$B45=$AM$62,$B45=$AM$64),VLOOKUP($B45,$AM$44:$AX$107,3,FALSE)*'Table 3-A| Emission Units'!$G$15,VLOOKUP($B45,$AM$44:$AX$107,3,FALSE)),0)</f>
        <v>0</v>
      </c>
      <c r="AD45" s="585">
        <f ca="1">IFERROR(IF(OR($B45=$AM$45,$B45=$AM$47,$B45=$AM$62,$B45=$AM$64),VLOOKUP($B45,$AM$44:$AX$107,4,FALSE)*'Table 3-A| Emission Units'!$G$15,VLOOKUP($B45,$AM$44:$AX$107,4,FALSE)),0)</f>
        <v>0</v>
      </c>
      <c r="AE45" s="585">
        <f ca="1">IFERROR(VLOOKUP($B45,$AM$44:$AX$107,5,FALSE),0)</f>
        <v>0</v>
      </c>
      <c r="AF45" s="585">
        <f ca="1">IFERROR(IF(OR($B45=$AM$45,$B45=$AM$47,$B45=$AM$62,$B45=$AM$64),VLOOKUP($B45,$AM$44:$AX$107,6,FALSE)*'Table 3-A| Emission Units'!$H$15,VLOOKUP($B45,$AM$44:$AX$107,6,FALSE)),0)</f>
        <v>0</v>
      </c>
      <c r="AG45" s="585">
        <f ca="1">IFERROR(VLOOKUP($B45,$AM$44:$AX$107,7,FALSE),0)</f>
        <v>0</v>
      </c>
      <c r="AH45" s="585">
        <f ca="1">IFERROR(VLOOKUP($B45,$AM$44:$AX$107,8,FALSE),0)</f>
        <v>0</v>
      </c>
      <c r="AI45" s="585">
        <f ca="1">IFERROR(VLOOKUP($B45,$AM$44:$AX$107,9,FALSE),0)</f>
        <v>0</v>
      </c>
      <c r="AJ45" s="585">
        <f ca="1">IFERROR(VLOOKUP($B45,$AM$44:$AX$107,10,FALSE),0)</f>
        <v>0</v>
      </c>
      <c r="AK45" s="588">
        <f ca="1">IFERROR(VLOOKUP($B45,$AM$44:$AX$107,11,FALSE),0)</f>
        <v>0</v>
      </c>
      <c r="AM45" s="66">
        <v>10200219</v>
      </c>
      <c r="AN45" s="68" t="s">
        <v>2312</v>
      </c>
      <c r="AO45" s="764">
        <v>9.6000000000000002E-2</v>
      </c>
      <c r="AP45" s="764">
        <v>2.5000000000000001E-2</v>
      </c>
      <c r="AQ45" s="762">
        <v>0.63</v>
      </c>
      <c r="AR45" s="763">
        <v>1.625</v>
      </c>
      <c r="AS45" s="762">
        <v>2.9166666666666668E-3</v>
      </c>
      <c r="AT45" s="762">
        <v>0.03</v>
      </c>
      <c r="AU45" s="762">
        <f>250+(0.0025*25)+(0.00167*298)</f>
        <v>250.56016</v>
      </c>
      <c r="AV45" s="629">
        <v>1.7499999999999998E-5</v>
      </c>
      <c r="AW45" s="629">
        <v>5.6750000000000002E-2</v>
      </c>
      <c r="AX45" s="757" t="s">
        <v>2284</v>
      </c>
      <c r="AY45" s="1329" t="s">
        <v>2329</v>
      </c>
      <c r="AZ45" s="1330"/>
      <c r="BA45" s="1330"/>
      <c r="BB45" s="1330"/>
      <c r="BC45" s="1330"/>
      <c r="BD45" s="1330"/>
      <c r="BE45" s="1331"/>
    </row>
    <row r="46" spans="1:57" ht="18" customHeight="1" x14ac:dyDescent="0.25">
      <c r="A46" s="302">
        <f>IF('Table 3-A| Emission Units'!$A104=0,0,'Table 3-A| Emission Units'!A104&amp;"-"&amp;'Table 3-A| Emission Units'!B104)</f>
        <v>0</v>
      </c>
      <c r="B46" s="303">
        <f ca="1">IF(ISTEXT('Table 3-A| Emission Units'!$C104),"See Misc. Units",'Table 3-A| Emission Units'!$C104)</f>
        <v>0</v>
      </c>
      <c r="C46" s="1353"/>
      <c r="D46" s="1356"/>
      <c r="E46" s="1353"/>
      <c r="F46" s="1353"/>
      <c r="G46" s="1359"/>
      <c r="H46" s="1362"/>
      <c r="I46" s="1362"/>
      <c r="J46" s="1362"/>
      <c r="K46" s="1362"/>
      <c r="L46" s="1362"/>
      <c r="M46" s="1362"/>
      <c r="N46" s="1362"/>
      <c r="O46" s="1344"/>
      <c r="S46" s="587">
        <f t="shared" ref="S46:AA46" ca="1" si="9">IFERROR($E45*AC46,0)</f>
        <v>0</v>
      </c>
      <c r="T46" s="585">
        <f t="shared" ca="1" si="9"/>
        <v>0</v>
      </c>
      <c r="U46" s="585">
        <f t="shared" ca="1" si="9"/>
        <v>0</v>
      </c>
      <c r="V46" s="585">
        <f t="shared" ca="1" si="9"/>
        <v>0</v>
      </c>
      <c r="W46" s="585">
        <f t="shared" ca="1" si="9"/>
        <v>0</v>
      </c>
      <c r="X46" s="585">
        <f t="shared" ca="1" si="9"/>
        <v>0</v>
      </c>
      <c r="Y46" s="585">
        <f t="shared" ca="1" si="9"/>
        <v>0</v>
      </c>
      <c r="Z46" s="585">
        <f t="shared" ca="1" si="9"/>
        <v>0</v>
      </c>
      <c r="AA46" s="588">
        <f t="shared" ca="1" si="9"/>
        <v>0</v>
      </c>
      <c r="AC46" s="587">
        <f ca="1">IFERROR(IF(OR($B46=$AM$45,$B46=$AM$47,$B46=$AM$62,$B46=$AM$64),VLOOKUP($B46,$AM$44:$AX$107,3,FALSE)*'Table 3-A| Emission Units'!$G$15,VLOOKUP($B46,$AM$44:$AX$107,3,FALSE)),0)</f>
        <v>0</v>
      </c>
      <c r="AD46" s="585">
        <f ca="1">IFERROR(IF(OR($B46=$AM$45,$B46=$AM$47,$B46=$AM$62,$B46=$AM$64),VLOOKUP($B46,$AM$44:$AX$107,4,FALSE)*'Table 3-A| Emission Units'!$G$15,VLOOKUP($B46,$AM$44:$AX$107,4,FALSE)),0)</f>
        <v>0</v>
      </c>
      <c r="AE46" s="585">
        <f ca="1">IFERROR(VLOOKUP($B46,$AM$44:$AX$107,5,FALSE),0)</f>
        <v>0</v>
      </c>
      <c r="AF46" s="585">
        <f ca="1">IFERROR(IF(OR($B46=$AM$45,$B46=$AM$47,$B46=$AM$62,$B46=$AM$64),VLOOKUP($B46,$AM$44:$AX$107,6,FALSE)*'Table 3-A| Emission Units'!$H$15,VLOOKUP($B46,$AM$44:$AX$107,6,FALSE)),0)</f>
        <v>0</v>
      </c>
      <c r="AG46" s="585">
        <f ca="1">IFERROR(VLOOKUP($B46,$AM$44:$AX$107,7,FALSE),0)</f>
        <v>0</v>
      </c>
      <c r="AH46" s="585">
        <f ca="1">IFERROR(VLOOKUP($B46,$AM$44:$AX$107,8,FALSE),0)</f>
        <v>0</v>
      </c>
      <c r="AI46" s="585">
        <f ca="1">IFERROR(VLOOKUP($B46,$AM$44:$AX$107,9,FALSE),0)</f>
        <v>0</v>
      </c>
      <c r="AJ46" s="585">
        <f ca="1">IFERROR(VLOOKUP($B46,$AM$44:$AX$107,10,FALSE),0)</f>
        <v>0</v>
      </c>
      <c r="AK46" s="588">
        <f ca="1">IFERROR(VLOOKUP($B46,$AM$44:$AX$107,11,FALSE),0)</f>
        <v>0</v>
      </c>
      <c r="AM46" s="66">
        <v>10200224</v>
      </c>
      <c r="AN46" s="68" t="s">
        <v>2317</v>
      </c>
      <c r="AO46" s="762">
        <v>0.77</v>
      </c>
      <c r="AP46" s="762">
        <v>0.3</v>
      </c>
      <c r="AQ46" s="762">
        <v>0.48</v>
      </c>
      <c r="AR46" s="763">
        <v>1.913</v>
      </c>
      <c r="AS46" s="762">
        <v>2.7322404371584699E-3</v>
      </c>
      <c r="AT46" s="762">
        <v>0.27</v>
      </c>
      <c r="AU46" s="762">
        <f>262.8+(0.00328*25)+(0.00219*298)</f>
        <v>263.53462000000002</v>
      </c>
      <c r="AV46" s="629">
        <v>5.0699999999999996E-4</v>
      </c>
      <c r="AW46" s="629">
        <v>7.6656000000000002E-2</v>
      </c>
      <c r="AX46" s="757" t="s">
        <v>2284</v>
      </c>
      <c r="AY46" s="1332" t="s">
        <v>2330</v>
      </c>
      <c r="AZ46" s="1333"/>
      <c r="BA46" s="1333"/>
      <c r="BB46" s="1333"/>
      <c r="BC46" s="1333"/>
      <c r="BD46" s="1333"/>
      <c r="BE46" s="1334"/>
    </row>
    <row r="47" spans="1:57" ht="18" customHeight="1" thickBot="1" x14ac:dyDescent="0.3">
      <c r="A47" s="309">
        <f>IF('Table 3-A| Emission Units'!$A105=0,0,'Table 3-A| Emission Units'!A105&amp;"-"&amp;'Table 3-A| Emission Units'!B105)</f>
        <v>0</v>
      </c>
      <c r="B47" s="310">
        <f ca="1">IF(ISTEXT('Table 3-A| Emission Units'!$C105),"See Misc. Units",'Table 3-A| Emission Units'!$C105)</f>
        <v>0</v>
      </c>
      <c r="C47" s="1354"/>
      <c r="D47" s="1357"/>
      <c r="E47" s="1354"/>
      <c r="F47" s="1354"/>
      <c r="G47" s="1360"/>
      <c r="H47" s="1363"/>
      <c r="I47" s="1363"/>
      <c r="J47" s="1363"/>
      <c r="K47" s="1363"/>
      <c r="L47" s="1363"/>
      <c r="M47" s="1363"/>
      <c r="N47" s="1363"/>
      <c r="O47" s="1345"/>
      <c r="S47" s="591">
        <f t="shared" ref="S47:AA47" ca="1" si="10">IFERROR($E45*AC47,0)</f>
        <v>0</v>
      </c>
      <c r="T47" s="592">
        <f t="shared" ca="1" si="10"/>
        <v>0</v>
      </c>
      <c r="U47" s="592">
        <f t="shared" ca="1" si="10"/>
        <v>0</v>
      </c>
      <c r="V47" s="592">
        <f t="shared" ca="1" si="10"/>
        <v>0</v>
      </c>
      <c r="W47" s="592">
        <f t="shared" ca="1" si="10"/>
        <v>0</v>
      </c>
      <c r="X47" s="592">
        <f t="shared" ca="1" si="10"/>
        <v>0</v>
      </c>
      <c r="Y47" s="592">
        <f t="shared" ca="1" si="10"/>
        <v>0</v>
      </c>
      <c r="Z47" s="592">
        <f t="shared" ca="1" si="10"/>
        <v>0</v>
      </c>
      <c r="AA47" s="593">
        <f t="shared" ca="1" si="10"/>
        <v>0</v>
      </c>
      <c r="AC47" s="591">
        <f ca="1">IFERROR(IF(OR($B47=$AM$45,$B47=$AM$47,$B47=$AM$62,$B47=$AM$64),VLOOKUP($B47,$AM$44:$AX$107,3,FALSE)*'Table 3-A| Emission Units'!$G$15,VLOOKUP($B47,$AM$44:$AX$107,3,FALSE)),0)</f>
        <v>0</v>
      </c>
      <c r="AD47" s="592">
        <f ca="1">IFERROR(IF(OR($B47=$AM$45,$B47=$AM$47,$B47=$AM$62,$B47=$AM$64),VLOOKUP($B47,$AM$44:$AX$107,4,FALSE)*'Table 3-A| Emission Units'!$G$15,VLOOKUP($B47,$AM$44:$AX$107,4,FALSE)),0)</f>
        <v>0</v>
      </c>
      <c r="AE47" s="592">
        <f ca="1">IFERROR(VLOOKUP($B47,$AM$44:$AX$107,5,FALSE),0)</f>
        <v>0</v>
      </c>
      <c r="AF47" s="592">
        <f ca="1">IFERROR(IF(OR($B47=$AM$45,$B47=$AM$47,$B47=$AM$62,$B47=$AM$64),VLOOKUP($B47,$AM$44:$AX$107,6,FALSE)*'Table 3-A| Emission Units'!$H$15,VLOOKUP($B47,$AM$44:$AX$107,6,FALSE)),0)</f>
        <v>0</v>
      </c>
      <c r="AG47" s="592">
        <f ca="1">IFERROR(VLOOKUP($B47,$AM$44:$AX$107,7,FALSE),0)</f>
        <v>0</v>
      </c>
      <c r="AH47" s="592">
        <f ca="1">IFERROR(VLOOKUP($B47,$AM$44:$AX$107,8,FALSE),0)</f>
        <v>0</v>
      </c>
      <c r="AI47" s="592">
        <f ca="1">IFERROR(VLOOKUP($B47,$AM$44:$AX$107,9,FALSE),0)</f>
        <v>0</v>
      </c>
      <c r="AJ47" s="592">
        <f ca="1">IFERROR(VLOOKUP($B47,$AM$44:$AX$107,10,FALSE),0)</f>
        <v>0</v>
      </c>
      <c r="AK47" s="593">
        <f ca="1">IFERROR(VLOOKUP($B47,$AM$44:$AX$107,11,FALSE),0)</f>
        <v>0</v>
      </c>
      <c r="AM47" s="66">
        <v>10200229</v>
      </c>
      <c r="AN47" s="68" t="s">
        <v>2314</v>
      </c>
      <c r="AO47" s="764">
        <v>0.126</v>
      </c>
      <c r="AP47" s="764">
        <v>3.3000000000000002E-2</v>
      </c>
      <c r="AQ47" s="762">
        <v>0.79</v>
      </c>
      <c r="AR47" s="763">
        <v>1.913</v>
      </c>
      <c r="AS47" s="762">
        <v>3.2786885245901635E-3</v>
      </c>
      <c r="AT47" s="762">
        <v>0.03</v>
      </c>
      <c r="AU47" s="762">
        <f>262.8+(0.00328*25)+(0.00219*298)</f>
        <v>263.53462000000002</v>
      </c>
      <c r="AV47" s="629">
        <v>2.2950819672131099E-5</v>
      </c>
      <c r="AW47" s="629">
        <v>7.4399999999999994E-2</v>
      </c>
      <c r="AX47" s="757" t="s">
        <v>2284</v>
      </c>
      <c r="AZ47" s="68"/>
      <c r="BA47" s="66"/>
      <c r="BB47" s="68"/>
    </row>
    <row r="48" spans="1:57" ht="18" customHeight="1" x14ac:dyDescent="0.25">
      <c r="A48" s="630">
        <f>IF('Table 3-A| Emission Units'!$A106=0,0,'Table 3-A| Emission Units'!A106&amp;"-"&amp;'Table 3-A| Emission Units'!B106)</f>
        <v>0</v>
      </c>
      <c r="B48" s="626">
        <f ca="1">IF(ISTEXT('Table 3-A| Emission Units'!$C106),"See Misc. Units",'Table 3-A| Emission Units'!$C106)</f>
        <v>0</v>
      </c>
      <c r="C48" s="1352">
        <f>IFERROR('Table 3-A| Emission Units'!$E$20,0)</f>
        <v>0</v>
      </c>
      <c r="D48" s="1355" t="str">
        <f ca="1">IFERROR(VLOOKUP($B48,$AM$44:$AX$107,12,FALSE),"")</f>
        <v/>
      </c>
      <c r="E48" s="1373">
        <f t="shared" si="6"/>
        <v>0</v>
      </c>
      <c r="F48" s="1352" t="s">
        <v>1859</v>
      </c>
      <c r="G48" s="1358">
        <f t="shared" ref="G48:O48" ca="1" si="11">LARGE(S48:S50,1)</f>
        <v>0</v>
      </c>
      <c r="H48" s="1361">
        <f t="shared" ca="1" si="11"/>
        <v>0</v>
      </c>
      <c r="I48" s="1361">
        <f t="shared" ca="1" si="11"/>
        <v>0</v>
      </c>
      <c r="J48" s="1361">
        <f t="shared" ca="1" si="11"/>
        <v>0</v>
      </c>
      <c r="K48" s="1361">
        <f t="shared" ca="1" si="11"/>
        <v>0</v>
      </c>
      <c r="L48" s="1361">
        <f t="shared" ca="1" si="11"/>
        <v>0</v>
      </c>
      <c r="M48" s="1361">
        <f t="shared" ca="1" si="11"/>
        <v>0</v>
      </c>
      <c r="N48" s="1361">
        <f t="shared" ca="1" si="11"/>
        <v>0</v>
      </c>
      <c r="O48" s="1343">
        <f t="shared" ca="1" si="11"/>
        <v>0</v>
      </c>
      <c r="S48" s="587">
        <f ca="1">IFERROR($E48*AC48,0)</f>
        <v>0</v>
      </c>
      <c r="T48" s="585">
        <f t="shared" ref="T48" ca="1" si="12">IFERROR($E48*AD48,0)</f>
        <v>0</v>
      </c>
      <c r="U48" s="585">
        <f t="shared" ref="U48" ca="1" si="13">IFERROR($E48*AE48,0)</f>
        <v>0</v>
      </c>
      <c r="V48" s="585">
        <f t="shared" ref="V48" ca="1" si="14">IFERROR($E48*AF48,0)</f>
        <v>0</v>
      </c>
      <c r="W48" s="585">
        <f t="shared" ref="W48" ca="1" si="15">IFERROR($E48*AG48,0)</f>
        <v>0</v>
      </c>
      <c r="X48" s="585">
        <f t="shared" ref="X48" ca="1" si="16">IFERROR($E48*AH48,0)</f>
        <v>0</v>
      </c>
      <c r="Y48" s="585">
        <f t="shared" ref="Y48" ca="1" si="17">IFERROR($E48*AI48,0)</f>
        <v>0</v>
      </c>
      <c r="Z48" s="585">
        <f t="shared" ref="Z48" ca="1" si="18">IFERROR($E48*AJ48,0)</f>
        <v>0</v>
      </c>
      <c r="AA48" s="588">
        <f t="shared" ref="AA48" ca="1" si="19">IFERROR($E48*AK48,0)</f>
        <v>0</v>
      </c>
      <c r="AC48" s="587">
        <f ca="1">IFERROR(IF(OR($B48=$AM$45,$B48=$AM$47,$B48=$AM$62,$B48=$AM$64),VLOOKUP($B48,$AM$44:$AX$107,3,FALSE)*'Table 3-A| Emission Units'!$G$21,VLOOKUP($B48,$AM$44:$AX$107,3,FALSE)),0)</f>
        <v>0</v>
      </c>
      <c r="AD48" s="585">
        <f ca="1">IFERROR(IF(OR($B48=$AM$45,$B48=$AM$47,$B48=$AM$62,$B48=$AM$64),VLOOKUP($B48,$AM$44:$AX$107,4,FALSE)*'Table 3-A| Emission Units'!$G$21,VLOOKUP($B48,$AM$44:$AX$107,4,FALSE)),0)</f>
        <v>0</v>
      </c>
      <c r="AE48" s="585">
        <f ca="1">IFERROR(VLOOKUP($B48,$AM$44:$AX$107,5,FALSE),0)</f>
        <v>0</v>
      </c>
      <c r="AF48" s="585">
        <f ca="1">IFERROR(IF(OR($B48=$AM$45,$B48=$AM$47,$B48=$AM$62,$B48=$AM$64),VLOOKUP($B48,$AM$44:$AX$107,6,FALSE)*'Table 3-A| Emission Units'!$H$21,VLOOKUP($B48,$AM$44:$AX$107,6,FALSE)),0)</f>
        <v>0</v>
      </c>
      <c r="AG48" s="585">
        <f ca="1">IFERROR(VLOOKUP($B48,$AM$44:$AX$107,7,FALSE),0)</f>
        <v>0</v>
      </c>
      <c r="AH48" s="585">
        <f ca="1">IFERROR(VLOOKUP($B48,$AM$44:$AX$107,8,FALSE),0)</f>
        <v>0</v>
      </c>
      <c r="AI48" s="585">
        <f ca="1">IFERROR(VLOOKUP($B48,$AM$44:$AX$107,9,FALSE),0)</f>
        <v>0</v>
      </c>
      <c r="AJ48" s="585">
        <f ca="1">IFERROR(VLOOKUP($B48,$AM$44:$AX$107,10,FALSE),0)</f>
        <v>0</v>
      </c>
      <c r="AK48" s="588">
        <f ca="1">IFERROR(VLOOKUP($B48,$AM$44:$AX$107,11,FALSE),0)</f>
        <v>0</v>
      </c>
      <c r="AM48" s="66">
        <v>10200401</v>
      </c>
      <c r="AN48" s="68" t="s">
        <v>2296</v>
      </c>
      <c r="AO48" s="762">
        <v>4.9000000000000002E-2</v>
      </c>
      <c r="AP48" s="762">
        <v>3.5000000000000003E-2</v>
      </c>
      <c r="AQ48" s="762">
        <v>0.308</v>
      </c>
      <c r="AR48" s="762">
        <v>5.2999999999999999E-2</v>
      </c>
      <c r="AS48" s="762">
        <v>1.0999999999999999E-2</v>
      </c>
      <c r="AT48" s="762">
        <v>3.3000000000000002E-2</v>
      </c>
      <c r="AU48" s="762">
        <f>164.04+(0.00312*25)+(0.00348*298)</f>
        <v>165.15503999999999</v>
      </c>
      <c r="AV48" s="629">
        <v>4.2485696482184333E-10</v>
      </c>
      <c r="AW48" s="629">
        <v>4.0000000000000002E-4</v>
      </c>
      <c r="AX48" s="756" t="s">
        <v>2284</v>
      </c>
      <c r="AZ48" s="68"/>
      <c r="BA48" s="66"/>
      <c r="BB48" s="68"/>
    </row>
    <row r="49" spans="1:54" ht="18" customHeight="1" x14ac:dyDescent="0.25">
      <c r="A49" s="302">
        <f>IF('Table 3-A| Emission Units'!$A107=0,0,'Table 3-A| Emission Units'!A107&amp;"-"&amp;'Table 3-A| Emission Units'!B107)</f>
        <v>0</v>
      </c>
      <c r="B49" s="303">
        <f ca="1">IF(ISTEXT('Table 3-A| Emission Units'!$C107),"See Misc. Units",'Table 3-A| Emission Units'!$C107)</f>
        <v>0</v>
      </c>
      <c r="C49" s="1353"/>
      <c r="D49" s="1356"/>
      <c r="E49" s="1353"/>
      <c r="F49" s="1353"/>
      <c r="G49" s="1359"/>
      <c r="H49" s="1362"/>
      <c r="I49" s="1362"/>
      <c r="J49" s="1362"/>
      <c r="K49" s="1362"/>
      <c r="L49" s="1362"/>
      <c r="M49" s="1362"/>
      <c r="N49" s="1362"/>
      <c r="O49" s="1344"/>
      <c r="S49" s="587">
        <f t="shared" ref="S49:AA49" ca="1" si="20">IFERROR($E48*AC49,0)</f>
        <v>0</v>
      </c>
      <c r="T49" s="585">
        <f t="shared" ca="1" si="20"/>
        <v>0</v>
      </c>
      <c r="U49" s="585">
        <f t="shared" ca="1" si="20"/>
        <v>0</v>
      </c>
      <c r="V49" s="585">
        <f t="shared" ca="1" si="20"/>
        <v>0</v>
      </c>
      <c r="W49" s="585">
        <f t="shared" ca="1" si="20"/>
        <v>0</v>
      </c>
      <c r="X49" s="585">
        <f t="shared" ca="1" si="20"/>
        <v>0</v>
      </c>
      <c r="Y49" s="585">
        <f t="shared" ca="1" si="20"/>
        <v>0</v>
      </c>
      <c r="Z49" s="585">
        <f t="shared" ca="1" si="20"/>
        <v>0</v>
      </c>
      <c r="AA49" s="588">
        <f t="shared" ca="1" si="20"/>
        <v>0</v>
      </c>
      <c r="AC49" s="587">
        <f ca="1">IFERROR(IF(OR($B49=$AM$45,$B49=$AM$47,$B49=$AM$62,$B49=$AM$64),VLOOKUP($B49,$AM$44:$AX$107,3,FALSE)*'Table 3-A| Emission Units'!$G$21,VLOOKUP($B49,$AM$44:$AX$107,3,FALSE)),0)</f>
        <v>0</v>
      </c>
      <c r="AD49" s="585">
        <f ca="1">IFERROR(IF(OR($B49=$AM$45,$B49=$AM$47,$B49=$AM$62,$B49=$AM$64),VLOOKUP($B49,$AM$44:$AX$107,4,FALSE)*'Table 3-A| Emission Units'!$G$21,VLOOKUP($B49,$AM$44:$AX$107,4,FALSE)),0)</f>
        <v>0</v>
      </c>
      <c r="AE49" s="585">
        <f t="shared" ref="AE49:AE50" ca="1" si="21">IFERROR(VLOOKUP($B49,$AM$44:$AX$107,5,FALSE),0)</f>
        <v>0</v>
      </c>
      <c r="AF49" s="585">
        <f ca="1">IFERROR(IF(OR($B49=$AM$45,$B49=$AM$47,$B49=$AM$62,$B49=$AM$64),VLOOKUP($B49,$AM$44:$AX$107,6,FALSE)*'Table 3-A| Emission Units'!$H$21,VLOOKUP($B49,$AM$44:$AX$107,6,FALSE)),0)</f>
        <v>0</v>
      </c>
      <c r="AG49" s="585">
        <f t="shared" ref="AG49:AG50" ca="1" si="22">IFERROR(VLOOKUP($B49,$AM$44:$AX$107,7,FALSE),0)</f>
        <v>0</v>
      </c>
      <c r="AH49" s="585">
        <f t="shared" ref="AH49:AH50" ca="1" si="23">IFERROR(VLOOKUP($B49,$AM$44:$AX$107,8,FALSE),0)</f>
        <v>0</v>
      </c>
      <c r="AI49" s="585">
        <f t="shared" ref="AI49:AI50" ca="1" si="24">IFERROR(VLOOKUP($B49,$AM$44:$AX$107,9,FALSE),0)</f>
        <v>0</v>
      </c>
      <c r="AJ49" s="585">
        <f t="shared" ref="AJ49:AJ50" ca="1" si="25">IFERROR(VLOOKUP($B49,$AM$44:$AX$107,10,FALSE),0)</f>
        <v>0</v>
      </c>
      <c r="AK49" s="588">
        <f t="shared" ref="AK49:AK50" ca="1" si="26">IFERROR(VLOOKUP($B49,$AM$44:$AX$107,11,FALSE),0)</f>
        <v>0</v>
      </c>
      <c r="AM49" s="66">
        <v>10200402</v>
      </c>
      <c r="AN49" s="68" t="s">
        <v>2297</v>
      </c>
      <c r="AO49" s="762">
        <v>4.9000000000000002E-2</v>
      </c>
      <c r="AP49" s="762">
        <v>3.5000000000000003E-2</v>
      </c>
      <c r="AQ49" s="762">
        <v>0.308</v>
      </c>
      <c r="AR49" s="762">
        <v>5.2999999999999999E-2</v>
      </c>
      <c r="AS49" s="762">
        <v>1.0999999999999999E-2</v>
      </c>
      <c r="AT49" s="762">
        <v>3.3000000000000002E-2</v>
      </c>
      <c r="AU49" s="762">
        <f>164.04+(0.00312*25)+(0.00348*298)</f>
        <v>165.15503999999999</v>
      </c>
      <c r="AV49" s="629">
        <v>4.2485696482184333E-10</v>
      </c>
      <c r="AW49" s="629">
        <v>4.0000000000000002E-4</v>
      </c>
      <c r="AX49" s="756" t="s">
        <v>2284</v>
      </c>
      <c r="AZ49" s="68"/>
      <c r="BA49" s="66"/>
      <c r="BB49" s="68"/>
    </row>
    <row r="50" spans="1:54" ht="18" customHeight="1" thickBot="1" x14ac:dyDescent="0.3">
      <c r="A50" s="309">
        <f>IF('Table 3-A| Emission Units'!$A108=0,0,'Table 3-A| Emission Units'!A108&amp;"-"&amp;'Table 3-A| Emission Units'!B108)</f>
        <v>0</v>
      </c>
      <c r="B50" s="310">
        <f ca="1">IF(ISTEXT('Table 3-A| Emission Units'!$C108),"See Misc. Units",'Table 3-A| Emission Units'!$C108)</f>
        <v>0</v>
      </c>
      <c r="C50" s="1354"/>
      <c r="D50" s="1357"/>
      <c r="E50" s="1354"/>
      <c r="F50" s="1354"/>
      <c r="G50" s="1360"/>
      <c r="H50" s="1363"/>
      <c r="I50" s="1363"/>
      <c r="J50" s="1363"/>
      <c r="K50" s="1363"/>
      <c r="L50" s="1363"/>
      <c r="M50" s="1363"/>
      <c r="N50" s="1363"/>
      <c r="O50" s="1345"/>
      <c r="S50" s="591">
        <f t="shared" ref="S50:AA50" ca="1" si="27">IFERROR($E48*AC50,0)</f>
        <v>0</v>
      </c>
      <c r="T50" s="592">
        <f t="shared" ca="1" si="27"/>
        <v>0</v>
      </c>
      <c r="U50" s="592">
        <f t="shared" ca="1" si="27"/>
        <v>0</v>
      </c>
      <c r="V50" s="592">
        <f t="shared" ca="1" si="27"/>
        <v>0</v>
      </c>
      <c r="W50" s="592">
        <f t="shared" ca="1" si="27"/>
        <v>0</v>
      </c>
      <c r="X50" s="592">
        <f t="shared" ca="1" si="27"/>
        <v>0</v>
      </c>
      <c r="Y50" s="592">
        <f t="shared" ca="1" si="27"/>
        <v>0</v>
      </c>
      <c r="Z50" s="592">
        <f t="shared" ca="1" si="27"/>
        <v>0</v>
      </c>
      <c r="AA50" s="593">
        <f t="shared" ca="1" si="27"/>
        <v>0</v>
      </c>
      <c r="AC50" s="591">
        <f ca="1">IFERROR(IF(OR($B50=$AM$45,$B50=$AM$47,$B50=$AM$62,$B50=$AM$64),VLOOKUP($B50,$AM$44:$AX$107,3,FALSE)*'Table 3-A| Emission Units'!$G$21,VLOOKUP($B50,$AM$44:$AX$107,3,FALSE)),0)</f>
        <v>0</v>
      </c>
      <c r="AD50" s="592">
        <f ca="1">IFERROR(IF(OR($B50=$AM$45,$B50=$AM$47,$B50=$AM$62,$B50=$AM$64),VLOOKUP($B50,$AM$44:$AX$107,4,FALSE)*'Table 3-A| Emission Units'!$G$21,VLOOKUP($B50,$AM$44:$AX$107,4,FALSE)),0)</f>
        <v>0</v>
      </c>
      <c r="AE50" s="592">
        <f t="shared" ca="1" si="21"/>
        <v>0</v>
      </c>
      <c r="AF50" s="592">
        <f ca="1">IFERROR(IF(OR($B50=$AM$45,$B50=$AM$47,$B50=$AM$62,$B50=$AM$64),VLOOKUP($B50,$AM$44:$AX$107,6,FALSE)*'Table 3-A| Emission Units'!$H$21,VLOOKUP($B50,$AM$44:$AX$107,6,FALSE)),0)</f>
        <v>0</v>
      </c>
      <c r="AG50" s="592">
        <f t="shared" ca="1" si="22"/>
        <v>0</v>
      </c>
      <c r="AH50" s="592">
        <f t="shared" ca="1" si="23"/>
        <v>0</v>
      </c>
      <c r="AI50" s="592">
        <f t="shared" ca="1" si="24"/>
        <v>0</v>
      </c>
      <c r="AJ50" s="592">
        <f t="shared" ca="1" si="25"/>
        <v>0</v>
      </c>
      <c r="AK50" s="593">
        <f t="shared" ca="1" si="26"/>
        <v>0</v>
      </c>
      <c r="AM50" s="66">
        <v>10200403</v>
      </c>
      <c r="AN50" s="68" t="s">
        <v>2298</v>
      </c>
      <c r="AO50" s="762">
        <v>4.9000000000000002E-2</v>
      </c>
      <c r="AP50" s="762">
        <v>3.5000000000000003E-2</v>
      </c>
      <c r="AQ50" s="762">
        <v>0.308</v>
      </c>
      <c r="AR50" s="762">
        <v>5.2999999999999999E-2</v>
      </c>
      <c r="AS50" s="762">
        <v>1.0999999999999999E-2</v>
      </c>
      <c r="AT50" s="762">
        <v>3.3000000000000002E-2</v>
      </c>
      <c r="AU50" s="762">
        <f>164.04+(0.00312*25)+(0.00348*298)</f>
        <v>165.15503999999999</v>
      </c>
      <c r="AV50" s="629">
        <v>4.2485696482184333E-10</v>
      </c>
      <c r="AW50" s="629">
        <v>4.0000000000000002E-4</v>
      </c>
      <c r="AX50" s="756" t="s">
        <v>2284</v>
      </c>
      <c r="AZ50" s="68"/>
      <c r="BA50" s="66"/>
      <c r="BB50" s="68"/>
    </row>
    <row r="51" spans="1:54" ht="18" customHeight="1" x14ac:dyDescent="0.25">
      <c r="A51" s="630">
        <f>IF('Table 3-A| Emission Units'!$A109=0,0,'Table 3-A| Emission Units'!A109&amp;"-"&amp;'Table 3-A| Emission Units'!B109)</f>
        <v>0</v>
      </c>
      <c r="B51" s="626">
        <f ca="1">IF(ISTEXT('Table 3-A| Emission Units'!$C109),"See Misc. Units",'Table 3-A| Emission Units'!$C109)</f>
        <v>0</v>
      </c>
      <c r="C51" s="1352">
        <f>IFERROR('Table 3-A| Emission Units'!$E$26,0)</f>
        <v>0</v>
      </c>
      <c r="D51" s="1355" t="str">
        <f ca="1">IFERROR(VLOOKUP($B51,$AM$44:$AX$107,12,FALSE),"")</f>
        <v/>
      </c>
      <c r="E51" s="1373">
        <f t="shared" si="6"/>
        <v>0</v>
      </c>
      <c r="F51" s="1352" t="s">
        <v>1859</v>
      </c>
      <c r="G51" s="1358">
        <f t="shared" ref="G51:O51" ca="1" si="28">LARGE(S51:S53,1)</f>
        <v>0</v>
      </c>
      <c r="H51" s="1361">
        <f t="shared" ca="1" si="28"/>
        <v>0</v>
      </c>
      <c r="I51" s="1361">
        <f t="shared" ca="1" si="28"/>
        <v>0</v>
      </c>
      <c r="J51" s="1361">
        <f t="shared" ca="1" si="28"/>
        <v>0</v>
      </c>
      <c r="K51" s="1361">
        <f t="shared" ca="1" si="28"/>
        <v>0</v>
      </c>
      <c r="L51" s="1361">
        <f t="shared" ca="1" si="28"/>
        <v>0</v>
      </c>
      <c r="M51" s="1361">
        <f t="shared" ca="1" si="28"/>
        <v>0</v>
      </c>
      <c r="N51" s="1361">
        <f t="shared" ca="1" si="28"/>
        <v>0</v>
      </c>
      <c r="O51" s="1343">
        <f t="shared" ca="1" si="28"/>
        <v>0</v>
      </c>
      <c r="S51" s="587">
        <f ca="1">IFERROR($E51*AC51,0)</f>
        <v>0</v>
      </c>
      <c r="T51" s="585">
        <f t="shared" ref="T51" ca="1" si="29">IFERROR($E51*AD51,0)</f>
        <v>0</v>
      </c>
      <c r="U51" s="585">
        <f t="shared" ref="U51" ca="1" si="30">IFERROR($E51*AE51,0)</f>
        <v>0</v>
      </c>
      <c r="V51" s="585">
        <f t="shared" ref="V51" ca="1" si="31">IFERROR($E51*AF51,0)</f>
        <v>0</v>
      </c>
      <c r="W51" s="585">
        <f t="shared" ref="W51" ca="1" si="32">IFERROR($E51*AG51,0)</f>
        <v>0</v>
      </c>
      <c r="X51" s="585">
        <f t="shared" ref="X51" ca="1" si="33">IFERROR($E51*AH51,0)</f>
        <v>0</v>
      </c>
      <c r="Y51" s="585">
        <f t="shared" ref="Y51" ca="1" si="34">IFERROR($E51*AI51,0)</f>
        <v>0</v>
      </c>
      <c r="Z51" s="585">
        <f t="shared" ref="Z51" ca="1" si="35">IFERROR($E51*AJ51,0)</f>
        <v>0</v>
      </c>
      <c r="AA51" s="588">
        <f t="shared" ref="AA51" ca="1" si="36">IFERROR($E51*AK51,0)</f>
        <v>0</v>
      </c>
      <c r="AC51" s="587">
        <f ca="1">IFERROR(IF(OR($B51=$AM$45,$B51=$AM$47,$B51=$AM$62,$B51=$AM$64),VLOOKUP($B51,$AM$44:$AX$107,3,FALSE)*'Table 3-A| Emission Units'!$G$27,VLOOKUP($B51,$AM$44:$AX$107,3,FALSE)),0)</f>
        <v>0</v>
      </c>
      <c r="AD51" s="585">
        <f ca="1">IFERROR(IF(OR($B51=$AM$45,$B51=$AM$47,$B51=$AM$62,$B51=$AM$64),VLOOKUP($B51,$AM$44:$AX$107,4,FALSE)*'Table 3-A| Emission Units'!$G$27,VLOOKUP($B51,$AM$44:$AX$107,4,FALSE)),0)</f>
        <v>0</v>
      </c>
      <c r="AE51" s="585">
        <f ca="1">IFERROR(VLOOKUP($B51,$AM$44:$AX$107,5,FALSE),0)</f>
        <v>0</v>
      </c>
      <c r="AF51" s="585">
        <f ca="1">IFERROR(IF(OR($B51=$AM$45,$B51=$AM$47,$B51=$AM$62,$B51=$AM$64),VLOOKUP($B51,$AM$44:$AX$107,6,FALSE)*'Table 3-A| Emission Units'!$H$27,VLOOKUP($B51,$AM$44:$AX$107,6,FALSE)),0)</f>
        <v>0</v>
      </c>
      <c r="AG51" s="585">
        <f ca="1">IFERROR(VLOOKUP($B51,$AM$44:$AX$107,7,FALSE),0)</f>
        <v>0</v>
      </c>
      <c r="AH51" s="585">
        <f ca="1">IFERROR(VLOOKUP($B51,$AM$44:$AX$107,8,FALSE),0)</f>
        <v>0</v>
      </c>
      <c r="AI51" s="585">
        <f ca="1">IFERROR(VLOOKUP($B51,$AM$44:$AX$107,9,FALSE),0)</f>
        <v>0</v>
      </c>
      <c r="AJ51" s="585">
        <f ca="1">IFERROR(VLOOKUP($B51,$AM$44:$AX$107,10,FALSE),0)</f>
        <v>0</v>
      </c>
      <c r="AK51" s="588">
        <f ca="1">IFERROR(VLOOKUP($B51,$AM$44:$AX$107,11,FALSE),0)</f>
        <v>0</v>
      </c>
      <c r="AM51" s="66">
        <v>10200501</v>
      </c>
      <c r="AN51" s="68" t="s">
        <v>2302</v>
      </c>
      <c r="AO51" s="762">
        <v>1.7000000000000001E-2</v>
      </c>
      <c r="AP51" s="762">
        <v>1.0999999999999999E-2</v>
      </c>
      <c r="AQ51" s="762">
        <v>0.17299999999999999</v>
      </c>
      <c r="AR51" s="762">
        <v>5.2999999999999999E-2</v>
      </c>
      <c r="AS51" s="762">
        <v>1.81E-3</v>
      </c>
      <c r="AT51" s="762">
        <v>3.5999999999999997E-2</v>
      </c>
      <c r="AU51" s="762">
        <f>179.86+(0.000374*25)</f>
        <v>179.86935000000003</v>
      </c>
      <c r="AV51" s="629">
        <v>4.6581439884063981E-10</v>
      </c>
      <c r="AW51" s="629">
        <v>4.6299999999999998E-4</v>
      </c>
      <c r="AX51" s="756" t="s">
        <v>2284</v>
      </c>
      <c r="AZ51" s="68"/>
      <c r="BA51" s="66"/>
      <c r="BB51" s="68"/>
    </row>
    <row r="52" spans="1:54" ht="18" customHeight="1" x14ac:dyDescent="0.25">
      <c r="A52" s="302">
        <f>IF('Table 3-A| Emission Units'!$A110=0,0,'Table 3-A| Emission Units'!A110&amp;"-"&amp;'Table 3-A| Emission Units'!B110)</f>
        <v>0</v>
      </c>
      <c r="B52" s="303">
        <f ca="1">IF(ISTEXT('Table 3-A| Emission Units'!$C110),"See Misc. Units",'Table 3-A| Emission Units'!$C110)</f>
        <v>0</v>
      </c>
      <c r="C52" s="1353"/>
      <c r="D52" s="1356"/>
      <c r="E52" s="1353"/>
      <c r="F52" s="1353"/>
      <c r="G52" s="1359"/>
      <c r="H52" s="1362"/>
      <c r="I52" s="1362"/>
      <c r="J52" s="1362"/>
      <c r="K52" s="1362"/>
      <c r="L52" s="1362"/>
      <c r="M52" s="1362"/>
      <c r="N52" s="1362"/>
      <c r="O52" s="1344"/>
      <c r="S52" s="587">
        <f t="shared" ref="S52:AA52" ca="1" si="37">IFERROR($E51*AC52,0)</f>
        <v>0</v>
      </c>
      <c r="T52" s="585">
        <f t="shared" ca="1" si="37"/>
        <v>0</v>
      </c>
      <c r="U52" s="585">
        <f t="shared" ca="1" si="37"/>
        <v>0</v>
      </c>
      <c r="V52" s="585">
        <f t="shared" ca="1" si="37"/>
        <v>0</v>
      </c>
      <c r="W52" s="585">
        <f t="shared" ca="1" si="37"/>
        <v>0</v>
      </c>
      <c r="X52" s="585">
        <f t="shared" ca="1" si="37"/>
        <v>0</v>
      </c>
      <c r="Y52" s="585">
        <f t="shared" ca="1" si="37"/>
        <v>0</v>
      </c>
      <c r="Z52" s="585">
        <f t="shared" ca="1" si="37"/>
        <v>0</v>
      </c>
      <c r="AA52" s="588">
        <f t="shared" ca="1" si="37"/>
        <v>0</v>
      </c>
      <c r="AC52" s="587">
        <f ca="1">IFERROR(IF(OR($B52=$AM$45,$B52=$AM$47,$B52=$AM$62,$B52=$AM$64),VLOOKUP($B52,$AM$44:$AX$107,3,FALSE)*'Table 3-A| Emission Units'!$G$27,VLOOKUP($B52,$AM$44:$AX$107,3,FALSE)),0)</f>
        <v>0</v>
      </c>
      <c r="AD52" s="585">
        <f ca="1">IFERROR(IF(OR($B52=$AM$45,$B52=$AM$47,$B52=$AM$62,$B52=$AM$64),VLOOKUP($B52,$AM$44:$AX$107,4,FALSE)*'Table 3-A| Emission Units'!$G$27,VLOOKUP($B52,$AM$44:$AX$107,4,FALSE)),0)</f>
        <v>0</v>
      </c>
      <c r="AE52" s="585">
        <f t="shared" ref="AE52:AE74" ca="1" si="38">IFERROR(VLOOKUP($B52,$AM$44:$AX$107,5,FALSE),0)</f>
        <v>0</v>
      </c>
      <c r="AF52" s="585">
        <f ca="1">IFERROR(IF(OR($B52=$AM$45,$B52=$AM$47,$B52=$AM$62,$B52=$AM$64),VLOOKUP($B52,$AM$44:$AX$107,6,FALSE)*'Table 3-A| Emission Units'!$H$27,VLOOKUP($B52,$AM$44:$AX$107,6,FALSE)),0)</f>
        <v>0</v>
      </c>
      <c r="AG52" s="585">
        <f t="shared" ref="AG52:AG74" ca="1" si="39">IFERROR(VLOOKUP($B52,$AM$44:$AX$107,7,FALSE),0)</f>
        <v>0</v>
      </c>
      <c r="AH52" s="585">
        <f t="shared" ref="AH52:AH74" ca="1" si="40">IFERROR(VLOOKUP($B52,$AM$44:$AX$107,8,FALSE),0)</f>
        <v>0</v>
      </c>
      <c r="AI52" s="585">
        <f t="shared" ref="AI52:AI74" ca="1" si="41">IFERROR(VLOOKUP($B52,$AM$44:$AX$107,9,FALSE),0)</f>
        <v>0</v>
      </c>
      <c r="AJ52" s="585">
        <f t="shared" ref="AJ52:AJ74" ca="1" si="42">IFERROR(VLOOKUP($B52,$AM$44:$AX$107,10,FALSE),0)</f>
        <v>0</v>
      </c>
      <c r="AK52" s="588">
        <f t="shared" ref="AK52:AK74" ca="1" si="43">IFERROR(VLOOKUP($B52,$AM$44:$AX$107,11,FALSE),0)</f>
        <v>0</v>
      </c>
      <c r="AM52" s="66">
        <v>10200502</v>
      </c>
      <c r="AN52" s="68" t="s">
        <v>2303</v>
      </c>
      <c r="AO52" s="762">
        <v>1.7000000000000001E-2</v>
      </c>
      <c r="AP52" s="762">
        <v>1.0999999999999999E-2</v>
      </c>
      <c r="AQ52" s="762">
        <v>0.14399999999999999</v>
      </c>
      <c r="AR52" s="762">
        <v>5.1999999999999998E-2</v>
      </c>
      <c r="AS52" s="762">
        <v>1.81E-3</v>
      </c>
      <c r="AT52" s="762">
        <v>3.5999999999999997E-2</v>
      </c>
      <c r="AU52" s="762">
        <f>179.86+(0.000374*25)</f>
        <v>179.86935000000003</v>
      </c>
      <c r="AV52" s="629">
        <v>4.6581439884063981E-10</v>
      </c>
      <c r="AW52" s="629">
        <v>4.6299999999999998E-4</v>
      </c>
      <c r="AX52" s="756" t="s">
        <v>2284</v>
      </c>
      <c r="AZ52" s="68"/>
      <c r="BA52" s="66"/>
      <c r="BB52" s="68"/>
    </row>
    <row r="53" spans="1:54" ht="18" customHeight="1" thickBot="1" x14ac:dyDescent="0.3">
      <c r="A53" s="309">
        <f>IF('Table 3-A| Emission Units'!$A111=0,0,'Table 3-A| Emission Units'!A111&amp;"-"&amp;'Table 3-A| Emission Units'!B111)</f>
        <v>0</v>
      </c>
      <c r="B53" s="310">
        <f ca="1">IF(ISTEXT('Table 3-A| Emission Units'!$C111),"See Misc. Units",'Table 3-A| Emission Units'!$C111)</f>
        <v>0</v>
      </c>
      <c r="C53" s="1354"/>
      <c r="D53" s="1357"/>
      <c r="E53" s="1354"/>
      <c r="F53" s="1354"/>
      <c r="G53" s="1360"/>
      <c r="H53" s="1363"/>
      <c r="I53" s="1363"/>
      <c r="J53" s="1363"/>
      <c r="K53" s="1363"/>
      <c r="L53" s="1363"/>
      <c r="M53" s="1363"/>
      <c r="N53" s="1363"/>
      <c r="O53" s="1345"/>
      <c r="S53" s="591">
        <f t="shared" ref="S53:AA53" ca="1" si="44">IFERROR($E51*AC53,0)</f>
        <v>0</v>
      </c>
      <c r="T53" s="592">
        <f t="shared" ca="1" si="44"/>
        <v>0</v>
      </c>
      <c r="U53" s="592">
        <f t="shared" ca="1" si="44"/>
        <v>0</v>
      </c>
      <c r="V53" s="592">
        <f t="shared" ca="1" si="44"/>
        <v>0</v>
      </c>
      <c r="W53" s="592">
        <f t="shared" ca="1" si="44"/>
        <v>0</v>
      </c>
      <c r="X53" s="592">
        <f t="shared" ca="1" si="44"/>
        <v>0</v>
      </c>
      <c r="Y53" s="592">
        <f t="shared" ca="1" si="44"/>
        <v>0</v>
      </c>
      <c r="Z53" s="592">
        <f t="shared" ca="1" si="44"/>
        <v>0</v>
      </c>
      <c r="AA53" s="593">
        <f t="shared" ca="1" si="44"/>
        <v>0</v>
      </c>
      <c r="AC53" s="591">
        <f ca="1">IFERROR(IF(OR($B53=$AM$45,$B53=$AM$47,$B53=$AM$62,$B53=$AM$64),VLOOKUP($B53,$AM$44:$AX$107,3,FALSE)*'Table 3-A| Emission Units'!$G$27,VLOOKUP($B53,$AM$44:$AX$107,3,FALSE)),0)</f>
        <v>0</v>
      </c>
      <c r="AD53" s="592">
        <f ca="1">IFERROR(IF(OR($B53=$AM$45,$B53=$AM$47,$B53=$AM$62,$B53=$AM$64),VLOOKUP($B53,$AM$44:$AX$107,4,FALSE)*'Table 3-A| Emission Units'!$G$27,VLOOKUP($B53,$AM$44:$AX$107,4,FALSE)),0)</f>
        <v>0</v>
      </c>
      <c r="AE53" s="592">
        <f t="shared" ca="1" si="38"/>
        <v>0</v>
      </c>
      <c r="AF53" s="592">
        <f ca="1">IFERROR(IF(OR($B53=$AM$45,$B53=$AM$47,$B53=$AM$62,$B53=$AM$64),VLOOKUP($B53,$AM$44:$AX$107,6,FALSE)*'Table 3-A| Emission Units'!$H$27,VLOOKUP($B53,$AM$44:$AX$107,6,FALSE)),0)</f>
        <v>0</v>
      </c>
      <c r="AG53" s="592">
        <f t="shared" ca="1" si="39"/>
        <v>0</v>
      </c>
      <c r="AH53" s="592">
        <f t="shared" ca="1" si="40"/>
        <v>0</v>
      </c>
      <c r="AI53" s="592">
        <f t="shared" ca="1" si="41"/>
        <v>0</v>
      </c>
      <c r="AJ53" s="592">
        <f t="shared" ca="1" si="42"/>
        <v>0</v>
      </c>
      <c r="AK53" s="593">
        <f t="shared" ca="1" si="43"/>
        <v>0</v>
      </c>
      <c r="AM53" s="66">
        <v>10200503</v>
      </c>
      <c r="AN53" s="68" t="s">
        <v>2304</v>
      </c>
      <c r="AO53" s="762">
        <v>1.7000000000000001E-2</v>
      </c>
      <c r="AP53" s="762">
        <v>1.0999999999999999E-2</v>
      </c>
      <c r="AQ53" s="762">
        <v>0.14399999999999999</v>
      </c>
      <c r="AR53" s="762">
        <v>5.1999999999999998E-2</v>
      </c>
      <c r="AS53" s="762">
        <v>1.81E-3</v>
      </c>
      <c r="AT53" s="762">
        <v>3.5999999999999997E-2</v>
      </c>
      <c r="AU53" s="762">
        <f>179.86+(0.000374*25)</f>
        <v>179.86935000000003</v>
      </c>
      <c r="AV53" s="629">
        <v>4.6581439884063981E-10</v>
      </c>
      <c r="AW53" s="629">
        <v>4.6299999999999998E-4</v>
      </c>
      <c r="AX53" s="756" t="s">
        <v>2284</v>
      </c>
      <c r="AZ53" s="68"/>
      <c r="BA53" s="66"/>
      <c r="BB53" s="68"/>
    </row>
    <row r="54" spans="1:54" ht="18" customHeight="1" x14ac:dyDescent="0.25">
      <c r="A54" s="630">
        <f>IF('Table 3-A| Emission Units'!$A112=0,0,'Table 3-A| Emission Units'!A112&amp;"-"&amp;'Table 3-A| Emission Units'!B112)</f>
        <v>0</v>
      </c>
      <c r="B54" s="626">
        <f ca="1">IF(ISTEXT('Table 3-A| Emission Units'!$C112),"See Misc. Units",'Table 3-A| Emission Units'!$C112)</f>
        <v>0</v>
      </c>
      <c r="C54" s="1352">
        <f>IFERROR('Table 3-A| Emission Units'!$E$32,0)</f>
        <v>0</v>
      </c>
      <c r="D54" s="1355" t="str">
        <f ca="1">IFERROR(VLOOKUP($B54,$AM$44:$AX$107,12,FALSE),"")</f>
        <v/>
      </c>
      <c r="E54" s="1373">
        <f t="shared" si="6"/>
        <v>0</v>
      </c>
      <c r="F54" s="1352" t="str">
        <f>IF($A54="","","WebFIRE")</f>
        <v>WebFIRE</v>
      </c>
      <c r="G54" s="1358">
        <f t="shared" ref="G54:O54" ca="1" si="45">LARGE(S54:S56,1)</f>
        <v>0</v>
      </c>
      <c r="H54" s="1361">
        <f t="shared" ca="1" si="45"/>
        <v>0</v>
      </c>
      <c r="I54" s="1361">
        <f t="shared" ca="1" si="45"/>
        <v>0</v>
      </c>
      <c r="J54" s="1361">
        <f t="shared" ca="1" si="45"/>
        <v>0</v>
      </c>
      <c r="K54" s="1361">
        <f t="shared" ca="1" si="45"/>
        <v>0</v>
      </c>
      <c r="L54" s="1361">
        <f t="shared" ca="1" si="45"/>
        <v>0</v>
      </c>
      <c r="M54" s="1361">
        <f t="shared" ca="1" si="45"/>
        <v>0</v>
      </c>
      <c r="N54" s="1361">
        <f t="shared" ca="1" si="45"/>
        <v>0</v>
      </c>
      <c r="O54" s="1343">
        <f t="shared" ca="1" si="45"/>
        <v>0</v>
      </c>
      <c r="P54" s="130"/>
      <c r="Q54" s="130"/>
      <c r="R54" s="130"/>
      <c r="S54" s="589">
        <f ca="1">IFERROR($E54*AC54,0)</f>
        <v>0</v>
      </c>
      <c r="T54" s="590">
        <f t="shared" ref="T54" ca="1" si="46">IFERROR($E54*AD54,0)</f>
        <v>0</v>
      </c>
      <c r="U54" s="590">
        <f t="shared" ref="U54" ca="1" si="47">IFERROR($E54*AE54,0)</f>
        <v>0</v>
      </c>
      <c r="V54" s="585">
        <f t="shared" ref="V54" ca="1" si="48">IFERROR($E54*AF54,0)</f>
        <v>0</v>
      </c>
      <c r="W54" s="585">
        <f t="shared" ref="W54" ca="1" si="49">IFERROR($E54*AG54,0)</f>
        <v>0</v>
      </c>
      <c r="X54" s="585">
        <f t="shared" ref="X54" ca="1" si="50">IFERROR($E54*AH54,0)</f>
        <v>0</v>
      </c>
      <c r="Y54" s="585">
        <f t="shared" ref="Y54" ca="1" si="51">IFERROR($E54*AI54,0)</f>
        <v>0</v>
      </c>
      <c r="Z54" s="585">
        <f t="shared" ref="Z54" ca="1" si="52">IFERROR($E54*AJ54,0)</f>
        <v>0</v>
      </c>
      <c r="AA54" s="588">
        <f t="shared" ref="AA54" ca="1" si="53">IFERROR($E54*AK54,0)</f>
        <v>0</v>
      </c>
      <c r="AC54" s="589">
        <f ca="1">IFERROR(IF(OR($B54=$AM$45,$B54=$AM$47,$B54=$AM$62,$B54=$AM$64),VLOOKUP($B54,$AM$44:$AX$107,3,FALSE)*'Table 3-A| Emission Units'!$G$33,VLOOKUP($B54,$AM$44:$AX$107,3,FALSE)),0)</f>
        <v>0</v>
      </c>
      <c r="AD54" s="590">
        <f ca="1">IFERROR(IF(OR($B54=$AM$45,$B54=$AM$47,$B54=$AM$62,$B54=$AM$64),VLOOKUP($B54,$AM$44:$AX$107,4,FALSE)*'Table 3-A| Emission Units'!$G$33,VLOOKUP($B54,$AM$44:$AX$107,4,FALSE)),0)</f>
        <v>0</v>
      </c>
      <c r="AE54" s="590">
        <f t="shared" ca="1" si="38"/>
        <v>0</v>
      </c>
      <c r="AF54" s="585">
        <f ca="1">IFERROR(IF(OR($B54=$AM$45,$B54=$AM$47,$B54=$AM$62,$B54=$AM$64),VLOOKUP($B54,$AM$44:$AX$107,6,FALSE)*'Table 3-A| Emission Units'!$H$33,VLOOKUP($B54,$AM$44:$AX$107,6,FALSE)),0)</f>
        <v>0</v>
      </c>
      <c r="AG54" s="585">
        <f t="shared" ca="1" si="39"/>
        <v>0</v>
      </c>
      <c r="AH54" s="585">
        <f t="shared" ca="1" si="40"/>
        <v>0</v>
      </c>
      <c r="AI54" s="585">
        <f t="shared" ca="1" si="41"/>
        <v>0</v>
      </c>
      <c r="AJ54" s="585">
        <f t="shared" ca="1" si="42"/>
        <v>0</v>
      </c>
      <c r="AK54" s="588">
        <f t="shared" ca="1" si="43"/>
        <v>0</v>
      </c>
      <c r="AM54" s="66">
        <v>10200504</v>
      </c>
      <c r="AN54" s="68" t="s">
        <v>2323</v>
      </c>
      <c r="AO54" s="762">
        <v>5.1999999999999998E-2</v>
      </c>
      <c r="AP54" s="762">
        <v>3.6999999999999998E-2</v>
      </c>
      <c r="AQ54" s="762">
        <v>0.32400000000000001</v>
      </c>
      <c r="AR54" s="762">
        <v>5.3999999999999999E-2</v>
      </c>
      <c r="AS54" s="762">
        <v>1.74E-3</v>
      </c>
      <c r="AT54" s="762">
        <v>3.4000000000000002E-2</v>
      </c>
      <c r="AU54" s="762">
        <f>172.414+(0.000359*25)</f>
        <v>172.42297499999998</v>
      </c>
      <c r="AV54" s="629">
        <v>4.4653932026792366E-10</v>
      </c>
      <c r="AW54" s="629">
        <v>4.2099999999999999E-4</v>
      </c>
      <c r="AX54" s="756" t="s">
        <v>2284</v>
      </c>
      <c r="AZ54" s="68"/>
      <c r="BA54" s="66"/>
      <c r="BB54" s="68"/>
    </row>
    <row r="55" spans="1:54" ht="18" customHeight="1" x14ac:dyDescent="0.25">
      <c r="A55" s="302">
        <f>IF('Table 3-A| Emission Units'!$A113=0,0,'Table 3-A| Emission Units'!A113&amp;"-"&amp;'Table 3-A| Emission Units'!B113)</f>
        <v>0</v>
      </c>
      <c r="B55" s="303">
        <f ca="1">IF(ISTEXT('Table 3-A| Emission Units'!$C113),"See Misc. Units",'Table 3-A| Emission Units'!$C113)</f>
        <v>0</v>
      </c>
      <c r="C55" s="1353"/>
      <c r="D55" s="1356"/>
      <c r="E55" s="1353"/>
      <c r="F55" s="1353"/>
      <c r="G55" s="1359"/>
      <c r="H55" s="1362"/>
      <c r="I55" s="1362"/>
      <c r="J55" s="1362"/>
      <c r="K55" s="1362"/>
      <c r="L55" s="1362"/>
      <c r="M55" s="1362"/>
      <c r="N55" s="1362"/>
      <c r="O55" s="1344"/>
      <c r="P55" s="130"/>
      <c r="Q55" s="130"/>
      <c r="R55" s="130"/>
      <c r="S55" s="589">
        <f t="shared" ref="S55:AA55" ca="1" si="54">IFERROR($E54*AC55,0)</f>
        <v>0</v>
      </c>
      <c r="T55" s="590">
        <f t="shared" ca="1" si="54"/>
        <v>0</v>
      </c>
      <c r="U55" s="590">
        <f t="shared" ca="1" si="54"/>
        <v>0</v>
      </c>
      <c r="V55" s="585">
        <f t="shared" ca="1" si="54"/>
        <v>0</v>
      </c>
      <c r="W55" s="585">
        <f t="shared" ca="1" si="54"/>
        <v>0</v>
      </c>
      <c r="X55" s="585">
        <f t="shared" ca="1" si="54"/>
        <v>0</v>
      </c>
      <c r="Y55" s="585">
        <f t="shared" ca="1" si="54"/>
        <v>0</v>
      </c>
      <c r="Z55" s="585">
        <f t="shared" ca="1" si="54"/>
        <v>0</v>
      </c>
      <c r="AA55" s="588">
        <f t="shared" ca="1" si="54"/>
        <v>0</v>
      </c>
      <c r="AC55" s="589">
        <f ca="1">IFERROR(IF(OR($B55=$AM$45,$B55=$AM$47,$B55=$AM$62,$B55=$AM$64),VLOOKUP($B55,$AM$44:$AX$107,3,FALSE)*'Table 3-A| Emission Units'!$G$33,VLOOKUP($B55,$AM$44:$AX$107,3,FALSE)),0)</f>
        <v>0</v>
      </c>
      <c r="AD55" s="590">
        <f ca="1">IFERROR(IF(OR($B55=$AM$45,$B55=$AM$47,$B55=$AM$62,$B55=$AM$64),VLOOKUP($B55,$AM$44:$AX$107,4,FALSE)*'Table 3-A| Emission Units'!$G$33,VLOOKUP($B55,$AM$44:$AX$107,4,FALSE)),0)</f>
        <v>0</v>
      </c>
      <c r="AE55" s="590">
        <f t="shared" ca="1" si="38"/>
        <v>0</v>
      </c>
      <c r="AF55" s="585">
        <f ca="1">IFERROR(IF(OR($B55=$AM$45,$B55=$AM$47,$B55=$AM$62,$B55=$AM$64),VLOOKUP($B55,$AM$44:$AX$107,6,FALSE)*'Table 3-A| Emission Units'!$H$33,VLOOKUP($B55,$AM$44:$AX$107,6,FALSE)),0)</f>
        <v>0</v>
      </c>
      <c r="AG55" s="585">
        <f t="shared" ca="1" si="39"/>
        <v>0</v>
      </c>
      <c r="AH55" s="585">
        <f t="shared" ca="1" si="40"/>
        <v>0</v>
      </c>
      <c r="AI55" s="585">
        <f t="shared" ca="1" si="41"/>
        <v>0</v>
      </c>
      <c r="AJ55" s="585">
        <f t="shared" ca="1" si="42"/>
        <v>0</v>
      </c>
      <c r="AK55" s="588">
        <f t="shared" ca="1" si="43"/>
        <v>0</v>
      </c>
      <c r="AM55" s="66">
        <v>10200505</v>
      </c>
      <c r="AN55" s="68" t="s">
        <v>2308</v>
      </c>
      <c r="AO55" s="762">
        <v>1.7000000000000001E-2</v>
      </c>
      <c r="AP55" s="762">
        <v>1.0999999999999999E-2</v>
      </c>
      <c r="AQ55" s="762">
        <v>0.14399999999999999</v>
      </c>
      <c r="AR55" s="762">
        <v>5.1999999999999998E-2</v>
      </c>
      <c r="AS55" s="762">
        <v>1.4400000000000001E-3</v>
      </c>
      <c r="AT55" s="762">
        <v>3.5999999999999997E-2</v>
      </c>
      <c r="AU55" s="762">
        <f>179.86+(0.000374*25)</f>
        <v>179.86935000000003</v>
      </c>
      <c r="AV55" s="629">
        <v>4.6581439884063981E-10</v>
      </c>
      <c r="AW55" s="629">
        <v>4.3899999999999999E-4</v>
      </c>
      <c r="AX55" s="756" t="s">
        <v>2284</v>
      </c>
      <c r="AZ55" s="68"/>
      <c r="BA55" s="66"/>
      <c r="BB55" s="68"/>
    </row>
    <row r="56" spans="1:54" ht="18" customHeight="1" thickBot="1" x14ac:dyDescent="0.3">
      <c r="A56" s="309">
        <f>IF('Table 3-A| Emission Units'!$A114=0,0,'Table 3-A| Emission Units'!A114&amp;"-"&amp;'Table 3-A| Emission Units'!B114)</f>
        <v>0</v>
      </c>
      <c r="B56" s="310">
        <f ca="1">IF(ISTEXT('Table 3-A| Emission Units'!$C114),"See Misc. Units",'Table 3-A| Emission Units'!$C114)</f>
        <v>0</v>
      </c>
      <c r="C56" s="1354"/>
      <c r="D56" s="1357"/>
      <c r="E56" s="1354"/>
      <c r="F56" s="1354"/>
      <c r="G56" s="1360"/>
      <c r="H56" s="1363"/>
      <c r="I56" s="1363"/>
      <c r="J56" s="1363"/>
      <c r="K56" s="1363"/>
      <c r="L56" s="1363"/>
      <c r="M56" s="1363"/>
      <c r="N56" s="1363"/>
      <c r="O56" s="1345"/>
      <c r="S56" s="768">
        <f t="shared" ref="S56:AA56" ca="1" si="55">IFERROR($E54*AC56,0)</f>
        <v>0</v>
      </c>
      <c r="T56" s="769">
        <f t="shared" ca="1" si="55"/>
        <v>0</v>
      </c>
      <c r="U56" s="769">
        <f t="shared" ca="1" si="55"/>
        <v>0</v>
      </c>
      <c r="V56" s="592">
        <f t="shared" ca="1" si="55"/>
        <v>0</v>
      </c>
      <c r="W56" s="592">
        <f t="shared" ca="1" si="55"/>
        <v>0</v>
      </c>
      <c r="X56" s="592">
        <f t="shared" ca="1" si="55"/>
        <v>0</v>
      </c>
      <c r="Y56" s="592">
        <f t="shared" ca="1" si="55"/>
        <v>0</v>
      </c>
      <c r="Z56" s="592">
        <f t="shared" ca="1" si="55"/>
        <v>0</v>
      </c>
      <c r="AA56" s="593">
        <f t="shared" ca="1" si="55"/>
        <v>0</v>
      </c>
      <c r="AC56" s="768">
        <f ca="1">IFERROR(IF(OR($B56=$AM$45,$B56=$AM$47,$B56=$AM$62,$B56=$AM$64),VLOOKUP($B56,$AM$44:$AX$107,3,FALSE)*'Table 3-A| Emission Units'!$G$33,VLOOKUP($B56,$AM$44:$AX$107,3,FALSE)),0)</f>
        <v>0</v>
      </c>
      <c r="AD56" s="769">
        <f ca="1">IFERROR(IF(OR($B56=$AM$45,$B56=$AM$47,$B56=$AM$62,$B56=$AM$64),VLOOKUP($B56,$AM$44:$AX$107,4,FALSE)*'Table 3-A| Emission Units'!$G$33,VLOOKUP($B56,$AM$44:$AX$107,4,FALSE)),0)</f>
        <v>0</v>
      </c>
      <c r="AE56" s="769">
        <f t="shared" ca="1" si="38"/>
        <v>0</v>
      </c>
      <c r="AF56" s="592">
        <f ca="1">IFERROR(IF(OR($B56=$AM$45,$B56=$AM$47,$B56=$AM$62,$B56=$AM$64),VLOOKUP($B56,$AM$44:$AX$107,6,FALSE)*'Table 3-A| Emission Units'!$H$33,VLOOKUP($B56,$AM$44:$AX$107,6,FALSE)),0)</f>
        <v>0</v>
      </c>
      <c r="AG56" s="592">
        <f t="shared" ca="1" si="39"/>
        <v>0</v>
      </c>
      <c r="AH56" s="592">
        <f t="shared" ca="1" si="40"/>
        <v>0</v>
      </c>
      <c r="AI56" s="592">
        <f t="shared" ca="1" si="41"/>
        <v>0</v>
      </c>
      <c r="AJ56" s="592">
        <f t="shared" ca="1" si="42"/>
        <v>0</v>
      </c>
      <c r="AK56" s="593">
        <f t="shared" ca="1" si="43"/>
        <v>0</v>
      </c>
      <c r="AM56" s="66">
        <v>10200601</v>
      </c>
      <c r="AN56" s="68" t="s">
        <v>2288</v>
      </c>
      <c r="AO56" s="762">
        <v>7.45E-3</v>
      </c>
      <c r="AP56" s="762">
        <v>7.45E-3</v>
      </c>
      <c r="AQ56" s="762">
        <v>0.13700000000000001</v>
      </c>
      <c r="AR56" s="762">
        <v>5.8799999999999998E-4</v>
      </c>
      <c r="AS56" s="762">
        <v>5.3899999999999998E-3</v>
      </c>
      <c r="AT56" s="762">
        <v>8.2000000000000003E-2</v>
      </c>
      <c r="AU56" s="762">
        <f>117.647+(0.00225*25)+(0.00216*298)</f>
        <v>118.34693000000001</v>
      </c>
      <c r="AV56" s="629">
        <v>4.9019607843137254E-7</v>
      </c>
      <c r="AW56" s="629">
        <v>1.8500000000000001E-3</v>
      </c>
      <c r="AX56" s="756" t="s">
        <v>2284</v>
      </c>
      <c r="AZ56" s="68"/>
      <c r="BA56" s="66"/>
      <c r="BB56" s="68"/>
    </row>
    <row r="57" spans="1:54" ht="18" customHeight="1" x14ac:dyDescent="0.25">
      <c r="A57" s="630">
        <f>IF('Table 3-A| Emission Units'!$A115=0,0,'Table 3-A| Emission Units'!A115&amp;"-"&amp;'Table 3-A| Emission Units'!B115)</f>
        <v>0</v>
      </c>
      <c r="B57" s="626">
        <f ca="1">IF(ISTEXT('Table 3-A| Emission Units'!$C115),"See Misc. Units",'Table 3-A| Emission Units'!$C115)</f>
        <v>0</v>
      </c>
      <c r="C57" s="1352">
        <f>IFERROR('Table 3-A| Emission Units'!$E$38,0)</f>
        <v>0</v>
      </c>
      <c r="D57" s="1355" t="str">
        <f ca="1">IFERROR(VLOOKUP($B57,$AM$44:$AX$107,12,FALSE),"")</f>
        <v/>
      </c>
      <c r="E57" s="1352">
        <f t="shared" ref="E57:E67" si="56">IFERROR(IF(A57=0,0,C57*8760),"")</f>
        <v>0</v>
      </c>
      <c r="F57" s="1352" t="s">
        <v>1859</v>
      </c>
      <c r="G57" s="1358">
        <f t="shared" ref="G57:O57" ca="1" si="57">LARGE(S57:S59,1)</f>
        <v>0</v>
      </c>
      <c r="H57" s="1361">
        <f t="shared" ca="1" si="57"/>
        <v>0</v>
      </c>
      <c r="I57" s="1361">
        <f t="shared" ca="1" si="57"/>
        <v>0</v>
      </c>
      <c r="J57" s="1361">
        <f t="shared" ca="1" si="57"/>
        <v>0</v>
      </c>
      <c r="K57" s="1361">
        <f t="shared" ca="1" si="57"/>
        <v>0</v>
      </c>
      <c r="L57" s="1361">
        <f t="shared" ca="1" si="57"/>
        <v>0</v>
      </c>
      <c r="M57" s="1361">
        <f t="shared" ca="1" si="57"/>
        <v>0</v>
      </c>
      <c r="N57" s="1361">
        <f t="shared" ca="1" si="57"/>
        <v>0</v>
      </c>
      <c r="O57" s="1343">
        <f t="shared" ca="1" si="57"/>
        <v>0</v>
      </c>
      <c r="S57" s="766">
        <f ca="1">IFERROR($E57*AC57,0)</f>
        <v>0</v>
      </c>
      <c r="T57" s="767">
        <f t="shared" ref="T57" ca="1" si="58">IFERROR($E57*AD57,0)</f>
        <v>0</v>
      </c>
      <c r="U57" s="767">
        <f t="shared" ref="U57" ca="1" si="59">IFERROR($E57*AE57,0)</f>
        <v>0</v>
      </c>
      <c r="V57" s="584">
        <f t="shared" ref="V57" ca="1" si="60">IFERROR($E57*AF57,0)</f>
        <v>0</v>
      </c>
      <c r="W57" s="584">
        <f t="shared" ref="W57" ca="1" si="61">IFERROR($E57*AG57,0)</f>
        <v>0</v>
      </c>
      <c r="X57" s="584">
        <f t="shared" ref="X57" ca="1" si="62">IFERROR($E57*AH57,0)</f>
        <v>0</v>
      </c>
      <c r="Y57" s="584">
        <f t="shared" ref="Y57" ca="1" si="63">IFERROR($E57*AI57,0)</f>
        <v>0</v>
      </c>
      <c r="Z57" s="584">
        <f t="shared" ref="Z57" ca="1" si="64">IFERROR($E57*AJ57,0)</f>
        <v>0</v>
      </c>
      <c r="AA57" s="765">
        <f t="shared" ref="AA57" ca="1" si="65">IFERROR($E57*AK57,0)</f>
        <v>0</v>
      </c>
      <c r="AC57" s="589">
        <f ca="1">IFERROR(IF(OR($B57=$AM$45,$B57=$AM$47,$B57=$AM$62,$B57=$AM$64),VLOOKUP($B57,$AM$44:$AX$107,3,FALSE)*'Table 3-A| Emission Units'!$G$39,VLOOKUP($B57,$AM$44:$AX$107,3,FALSE)),0)</f>
        <v>0</v>
      </c>
      <c r="AD57" s="590">
        <f ca="1">IFERROR(IF(OR($B57=$AM$45,$B57=$AM$47,$B57=$AM$62,$B57=$AM$64),VLOOKUP($B57,$AM$44:$AX$107,4,FALSE)*'Table 3-A| Emission Units'!$G$39,VLOOKUP($B57,$AM$44:$AX$107,4,FALSE)),0)</f>
        <v>0</v>
      </c>
      <c r="AE57" s="590">
        <f t="shared" ca="1" si="38"/>
        <v>0</v>
      </c>
      <c r="AF57" s="585">
        <f ca="1">IFERROR(IF(OR($B57=$AM$45,$B57=$AM$47,$B57=$AM$62,$B57=$AM$64),VLOOKUP($B57,$AM$44:$AX$107,6,FALSE)*'Table 3-A| Emission Units'!$H$39,VLOOKUP($B57,$AM$44:$AX$107,6,FALSE)),0)</f>
        <v>0</v>
      </c>
      <c r="AG57" s="585">
        <f t="shared" ca="1" si="39"/>
        <v>0</v>
      </c>
      <c r="AH57" s="585">
        <f t="shared" ca="1" si="40"/>
        <v>0</v>
      </c>
      <c r="AI57" s="585">
        <f t="shared" ca="1" si="41"/>
        <v>0</v>
      </c>
      <c r="AJ57" s="585">
        <f t="shared" ca="1" si="42"/>
        <v>0</v>
      </c>
      <c r="AK57" s="588">
        <f t="shared" ca="1" si="43"/>
        <v>0</v>
      </c>
      <c r="AM57" s="66">
        <v>10200602</v>
      </c>
      <c r="AN57" s="68" t="s">
        <v>2289</v>
      </c>
      <c r="AO57" s="762">
        <v>7.45E-3</v>
      </c>
      <c r="AP57" s="762">
        <v>7.45E-3</v>
      </c>
      <c r="AQ57" s="762">
        <v>9.8000000000000004E-2</v>
      </c>
      <c r="AR57" s="762">
        <v>5.8799999999999998E-4</v>
      </c>
      <c r="AS57" s="762">
        <v>5.3899999999999998E-3</v>
      </c>
      <c r="AT57" s="762">
        <v>8.2000000000000003E-2</v>
      </c>
      <c r="AU57" s="762">
        <f>117.647+(0.00225*25)+(0.00216*298)</f>
        <v>118.34693000000001</v>
      </c>
      <c r="AV57" s="629">
        <v>4.9019607843137254E-7</v>
      </c>
      <c r="AW57" s="629">
        <v>1.8500000000000001E-3</v>
      </c>
      <c r="AX57" s="756" t="s">
        <v>2284</v>
      </c>
      <c r="AZ57" s="68"/>
      <c r="BA57" s="66"/>
      <c r="BB57" s="68"/>
    </row>
    <row r="58" spans="1:54" ht="18" customHeight="1" x14ac:dyDescent="0.25">
      <c r="A58" s="302">
        <f>IF('Table 3-A| Emission Units'!$A116=0,0,'Table 3-A| Emission Units'!A116&amp;"-"&amp;'Table 3-A| Emission Units'!B116)</f>
        <v>0</v>
      </c>
      <c r="B58" s="303">
        <f ca="1">IF(ISTEXT('Table 3-A| Emission Units'!$C116),"See Misc. Units",'Table 3-A| Emission Units'!$C116)</f>
        <v>0</v>
      </c>
      <c r="C58" s="1353"/>
      <c r="D58" s="1356"/>
      <c r="E58" s="1353"/>
      <c r="F58" s="1353"/>
      <c r="G58" s="1359"/>
      <c r="H58" s="1362"/>
      <c r="I58" s="1362"/>
      <c r="J58" s="1362"/>
      <c r="K58" s="1362"/>
      <c r="L58" s="1362"/>
      <c r="M58" s="1362"/>
      <c r="N58" s="1362"/>
      <c r="O58" s="1344"/>
      <c r="S58" s="589">
        <f t="shared" ref="S58:AA58" ca="1" si="66">IFERROR($E57*AC58,0)</f>
        <v>0</v>
      </c>
      <c r="T58" s="590">
        <f t="shared" ca="1" si="66"/>
        <v>0</v>
      </c>
      <c r="U58" s="590">
        <f t="shared" ca="1" si="66"/>
        <v>0</v>
      </c>
      <c r="V58" s="585">
        <f t="shared" ca="1" si="66"/>
        <v>0</v>
      </c>
      <c r="W58" s="585">
        <f t="shared" ca="1" si="66"/>
        <v>0</v>
      </c>
      <c r="X58" s="585">
        <f t="shared" ca="1" si="66"/>
        <v>0</v>
      </c>
      <c r="Y58" s="585">
        <f t="shared" ca="1" si="66"/>
        <v>0</v>
      </c>
      <c r="Z58" s="585">
        <f t="shared" ca="1" si="66"/>
        <v>0</v>
      </c>
      <c r="AA58" s="588">
        <f t="shared" ca="1" si="66"/>
        <v>0</v>
      </c>
      <c r="AC58" s="589">
        <f ca="1">IFERROR(IF(OR($B58=$AM$45,$B58=$AM$47,$B58=$AM$62,$B58=$AM$64),VLOOKUP($B58,$AM$44:$AX$107,3,FALSE)*'Table 3-A| Emission Units'!$G$39,VLOOKUP($B58,$AM$44:$AX$107,3,FALSE)),0)</f>
        <v>0</v>
      </c>
      <c r="AD58" s="590">
        <f ca="1">IFERROR(IF(OR($B58=$AM$45,$B58=$AM$47,$B58=$AM$62,$B58=$AM$64),VLOOKUP($B58,$AM$44:$AX$107,4,FALSE)*'Table 3-A| Emission Units'!$G$39,VLOOKUP($B58,$AM$44:$AX$107,4,FALSE)),0)</f>
        <v>0</v>
      </c>
      <c r="AE58" s="590">
        <f t="shared" ca="1" si="38"/>
        <v>0</v>
      </c>
      <c r="AF58" s="585">
        <f ca="1">IFERROR(IF(OR($B58=$AM$45,$B58=$AM$47,$B58=$AM$62,$B58=$AM$64),VLOOKUP($B58,$AM$44:$AX$107,6,FALSE)*'Table 3-A| Emission Units'!$H$39,VLOOKUP($B58,$AM$44:$AX$107,6,FALSE)),0)</f>
        <v>0</v>
      </c>
      <c r="AG58" s="585">
        <f t="shared" ca="1" si="39"/>
        <v>0</v>
      </c>
      <c r="AH58" s="585">
        <f t="shared" ca="1" si="40"/>
        <v>0</v>
      </c>
      <c r="AI58" s="585">
        <f t="shared" ca="1" si="41"/>
        <v>0</v>
      </c>
      <c r="AJ58" s="585">
        <f t="shared" ca="1" si="42"/>
        <v>0</v>
      </c>
      <c r="AK58" s="588">
        <f t="shared" ca="1" si="43"/>
        <v>0</v>
      </c>
      <c r="AM58" s="66">
        <v>10200603</v>
      </c>
      <c r="AN58" s="68" t="s">
        <v>2290</v>
      </c>
      <c r="AO58" s="762">
        <v>7.45E-3</v>
      </c>
      <c r="AP58" s="762">
        <v>7.45E-3</v>
      </c>
      <c r="AQ58" s="762">
        <v>9.8000000000000004E-2</v>
      </c>
      <c r="AR58" s="762">
        <v>5.8799999999999998E-4</v>
      </c>
      <c r="AS58" s="762">
        <v>5.3899999999999998E-3</v>
      </c>
      <c r="AT58" s="762">
        <v>8.2000000000000003E-2</v>
      </c>
      <c r="AU58" s="762">
        <f>117.647+(0.00225*25)+(0.00216*298)</f>
        <v>118.34693000000001</v>
      </c>
      <c r="AV58" s="629">
        <v>4.9019607843137254E-7</v>
      </c>
      <c r="AW58" s="629">
        <v>1.8500000000000001E-3</v>
      </c>
      <c r="AX58" s="756" t="s">
        <v>2284</v>
      </c>
      <c r="AZ58" s="68"/>
      <c r="BA58" s="66"/>
      <c r="BB58" s="68"/>
    </row>
    <row r="59" spans="1:54" ht="18" customHeight="1" thickBot="1" x14ac:dyDescent="0.3">
      <c r="A59" s="302">
        <f>IF('Table 3-A| Emission Units'!$A117=0,0,'Table 3-A| Emission Units'!A117&amp;"-"&amp;'Table 3-A| Emission Units'!B117)</f>
        <v>0</v>
      </c>
      <c r="B59" s="303">
        <f ca="1">IF(ISTEXT('Table 3-A| Emission Units'!$C117),"See Misc. Units",'Table 3-A| Emission Units'!$C117)</f>
        <v>0</v>
      </c>
      <c r="C59" s="1354"/>
      <c r="D59" s="1357"/>
      <c r="E59" s="1354"/>
      <c r="F59" s="1354"/>
      <c r="G59" s="1360"/>
      <c r="H59" s="1363"/>
      <c r="I59" s="1363"/>
      <c r="J59" s="1363"/>
      <c r="K59" s="1363"/>
      <c r="L59" s="1363"/>
      <c r="M59" s="1363"/>
      <c r="N59" s="1363"/>
      <c r="O59" s="1345"/>
      <c r="S59" s="589">
        <f t="shared" ref="S59:AA59" ca="1" si="67">IFERROR($E57*AC59,0)</f>
        <v>0</v>
      </c>
      <c r="T59" s="590">
        <f t="shared" ca="1" si="67"/>
        <v>0</v>
      </c>
      <c r="U59" s="590">
        <f t="shared" ca="1" si="67"/>
        <v>0</v>
      </c>
      <c r="V59" s="585">
        <f t="shared" ca="1" si="67"/>
        <v>0</v>
      </c>
      <c r="W59" s="585">
        <f t="shared" ca="1" si="67"/>
        <v>0</v>
      </c>
      <c r="X59" s="585">
        <f t="shared" ca="1" si="67"/>
        <v>0</v>
      </c>
      <c r="Y59" s="585">
        <f t="shared" ca="1" si="67"/>
        <v>0</v>
      </c>
      <c r="Z59" s="585">
        <f t="shared" ca="1" si="67"/>
        <v>0</v>
      </c>
      <c r="AA59" s="588">
        <f t="shared" ca="1" si="67"/>
        <v>0</v>
      </c>
      <c r="AC59" s="768">
        <f ca="1">IFERROR(IF(OR($B59=$AM$45,$B59=$AM$47,$B59=$AM$62,$B59=$AM$64),VLOOKUP($B59,$AM$44:$AX$107,3,FALSE)*'Table 3-A| Emission Units'!$G$39,VLOOKUP($B59,$AM$44:$AX$107,3,FALSE)),0)</f>
        <v>0</v>
      </c>
      <c r="AD59" s="769">
        <f ca="1">IFERROR(IF(OR($B59=$AM$45,$B59=$AM$47,$B59=$AM$62,$B59=$AM$64),VLOOKUP($B59,$AM$44:$AX$107,4,FALSE)*'Table 3-A| Emission Units'!$G$39,VLOOKUP($B59,$AM$44:$AX$107,4,FALSE)),0)</f>
        <v>0</v>
      </c>
      <c r="AE59" s="769">
        <f t="shared" ca="1" si="38"/>
        <v>0</v>
      </c>
      <c r="AF59" s="592">
        <f ca="1">IFERROR(IF(OR($B59=$AM$45,$B59=$AM$47,$B59=$AM$62,$B59=$AM$64),VLOOKUP($B59,$AM$44:$AX$107,6,FALSE)*'Table 3-A| Emission Units'!$H$39,VLOOKUP($B59,$AM$44:$AX$107,6,FALSE)),0)</f>
        <v>0</v>
      </c>
      <c r="AG59" s="592">
        <f t="shared" ca="1" si="39"/>
        <v>0</v>
      </c>
      <c r="AH59" s="592">
        <f t="shared" ca="1" si="40"/>
        <v>0</v>
      </c>
      <c r="AI59" s="592">
        <f t="shared" ca="1" si="41"/>
        <v>0</v>
      </c>
      <c r="AJ59" s="592">
        <f t="shared" ca="1" si="42"/>
        <v>0</v>
      </c>
      <c r="AK59" s="593">
        <f t="shared" ca="1" si="43"/>
        <v>0</v>
      </c>
      <c r="AM59" s="66">
        <v>10200604</v>
      </c>
      <c r="AN59" s="68" t="s">
        <v>2309</v>
      </c>
      <c r="AO59" s="762">
        <v>7.45E-3</v>
      </c>
      <c r="AP59" s="762">
        <v>7.45E-3</v>
      </c>
      <c r="AQ59" s="762">
        <v>0.16700000000000001</v>
      </c>
      <c r="AR59" s="762">
        <v>5.8799999999999998E-4</v>
      </c>
      <c r="AS59" s="762">
        <v>5.3899999999999998E-3</v>
      </c>
      <c r="AT59" s="762">
        <v>2.4E-2</v>
      </c>
      <c r="AU59" s="762">
        <f>117.647+(0.00225*25)+(0.00216*298)</f>
        <v>118.34693000000001</v>
      </c>
      <c r="AV59" s="629">
        <v>4.9019607843137254E-7</v>
      </c>
      <c r="AW59" s="629">
        <v>1.8500000000000001E-3</v>
      </c>
      <c r="AX59" s="756" t="s">
        <v>2284</v>
      </c>
      <c r="AZ59" s="68"/>
      <c r="BA59" s="66"/>
      <c r="BB59" s="68"/>
    </row>
    <row r="60" spans="1:54" ht="18" customHeight="1" x14ac:dyDescent="0.25">
      <c r="A60" s="1335" t="str">
        <f>IF('Table 3-A| Emission Units'!$A118=0,"",'Table 3-A| Emission Units'!A118)</f>
        <v>Cooling Tower Emission Units</v>
      </c>
      <c r="B60" s="1336" t="str">
        <f>IF('Table 3-A| Emission Units'!$A118=0,"",'Table 3-A| Emission Units'!B118&amp;"-"&amp;'Table 3-A| Emission Units'!C118)</f>
        <v>-</v>
      </c>
      <c r="C60" s="1336" t="str">
        <f>IF('Table 3-A| Emission Units'!$A118=0,"",'Table 3-A| Emission Units'!C118&amp;"-"&amp;'Table 3-A| Emission Units'!D118)</f>
        <v>-</v>
      </c>
      <c r="D60" s="1336" t="str">
        <f>IF('Table 3-A| Emission Units'!$A118=0,"",'Table 3-A| Emission Units'!D118&amp;"-"&amp;'Table 3-A| Emission Units'!E118)</f>
        <v>-</v>
      </c>
      <c r="E60" s="1336" t="str">
        <f>IF('Table 3-A| Emission Units'!$A118=0,"",'Table 3-A| Emission Units'!E118&amp;"-"&amp;'Table 3-A| Emission Units'!F118)</f>
        <v>-</v>
      </c>
      <c r="F60" s="1336" t="str">
        <f>IF('Table 3-A| Emission Units'!$A118=0,"",'Table 3-A| Emission Units'!F118&amp;"-"&amp;'Table 3-A| Emission Units'!G118)</f>
        <v>-</v>
      </c>
      <c r="G60" s="1336" t="str">
        <f>IF('Table 3-A| Emission Units'!$A118=0,"",'Table 3-A| Emission Units'!G118&amp;"-"&amp;'Table 3-A| Emission Units'!H118)</f>
        <v>-</v>
      </c>
      <c r="H60" s="1336" t="str">
        <f>IF('Table 3-A| Emission Units'!$A118=0,"",'Table 3-A| Emission Units'!H118&amp;"-"&amp;'Table 3-A| Emission Units'!I118)</f>
        <v>-</v>
      </c>
      <c r="I60" s="1336" t="str">
        <f>IF('Table 3-A| Emission Units'!$A118=0,"",'Table 3-A| Emission Units'!I118&amp;"-"&amp;'Table 3-A| Emission Units'!J118)</f>
        <v>-</v>
      </c>
      <c r="J60" s="1336" t="str">
        <f>IF('Table 3-A| Emission Units'!$A118=0,"",'Table 3-A| Emission Units'!J118&amp;"-"&amp;'Table 3-A| Emission Units'!K118)</f>
        <v>-</v>
      </c>
      <c r="K60" s="1336" t="str">
        <f>IF('Table 3-A| Emission Units'!$A118=0,"",'Table 3-A| Emission Units'!K118&amp;"-"&amp;'Table 3-A| Emission Units'!L118)</f>
        <v>-</v>
      </c>
      <c r="L60" s="1336" t="str">
        <f>IF('Table 3-A| Emission Units'!$A118=0,"",'Table 3-A| Emission Units'!L118&amp;"-"&amp;'Table 3-A| Emission Units'!M118)</f>
        <v>-</v>
      </c>
      <c r="M60" s="1336" t="str">
        <f>IF('Table 3-A| Emission Units'!$A118=0,"",'Table 3-A| Emission Units'!M118&amp;"-"&amp;'Table 3-A| Emission Units'!N118)</f>
        <v>-</v>
      </c>
      <c r="N60" s="1336" t="str">
        <f>IF('Table 3-A| Emission Units'!$A118=0,"",'Table 3-A| Emission Units'!N118&amp;"-"&amp;'Table 3-A| Emission Units'!O118)</f>
        <v>-</v>
      </c>
      <c r="O60" s="1337" t="str">
        <f>IF('Table 3-A| Emission Units'!$A118=0,"",'Table 3-A| Emission Units'!O118&amp;"-"&amp;'Table 3-A| Emission Units'!P118)</f>
        <v>-</v>
      </c>
      <c r="S60" s="1338"/>
      <c r="T60" s="1339"/>
      <c r="U60" s="1339"/>
      <c r="V60" s="1339"/>
      <c r="W60" s="1339"/>
      <c r="X60" s="1339"/>
      <c r="Y60" s="1339"/>
      <c r="Z60" s="1339"/>
      <c r="AA60" s="1340"/>
      <c r="AC60" s="1349"/>
      <c r="AD60" s="1350"/>
      <c r="AE60" s="1350"/>
      <c r="AF60" s="1350"/>
      <c r="AG60" s="1350"/>
      <c r="AH60" s="1350"/>
      <c r="AI60" s="1350"/>
      <c r="AJ60" s="1350"/>
      <c r="AK60" s="1351"/>
      <c r="AM60" s="66">
        <v>10201002</v>
      </c>
      <c r="AN60" s="68" t="s">
        <v>2322</v>
      </c>
      <c r="AO60" s="762">
        <v>1.2E-2</v>
      </c>
      <c r="AP60" s="762">
        <v>1.2E-2</v>
      </c>
      <c r="AQ60" s="762">
        <v>0.20799999999999999</v>
      </c>
      <c r="AR60" s="762">
        <v>5.9100000000000005E-4</v>
      </c>
      <c r="AS60" s="762">
        <v>5.47E-3</v>
      </c>
      <c r="AT60" s="762">
        <v>3.5000000000000003E-2</v>
      </c>
      <c r="AU60" s="762">
        <f>136.87+(0.00219*25)</f>
        <v>136.92475000000002</v>
      </c>
      <c r="AV60" s="629">
        <v>0</v>
      </c>
      <c r="AW60" s="629">
        <v>0</v>
      </c>
      <c r="AX60" s="756" t="s">
        <v>2284</v>
      </c>
      <c r="AZ60" s="68"/>
      <c r="BA60" s="66"/>
      <c r="BB60" s="68"/>
    </row>
    <row r="61" spans="1:54" ht="18" customHeight="1" thickBot="1" x14ac:dyDescent="0.3">
      <c r="A61" s="302">
        <f>IF('Table 3-A| Emission Units'!$A119=0,0,'Table 3-A| Emission Units'!A119&amp;"-"&amp;'Table 3-A| Emission Units'!B119)</f>
        <v>0</v>
      </c>
      <c r="B61" s="303">
        <f>'Table 3-A| Emission Units'!$C119</f>
        <v>0</v>
      </c>
      <c r="C61" s="305">
        <f>IFERROR('Table 3-A| Emission Units'!$E$43*60/1000000,0)</f>
        <v>0</v>
      </c>
      <c r="D61" s="391" t="str">
        <f>IFERROR(VLOOKUP($B61,$AM$44:$AX$107,12,FALSE),"")</f>
        <v/>
      </c>
      <c r="E61" s="305">
        <f t="shared" si="56"/>
        <v>0</v>
      </c>
      <c r="F61" s="305" t="s">
        <v>1859</v>
      </c>
      <c r="G61" s="392">
        <f>LARGE(S61,1)</f>
        <v>0</v>
      </c>
      <c r="H61" s="393">
        <f t="shared" ref="H61:O61" si="68">LARGE(T61,1)</f>
        <v>0</v>
      </c>
      <c r="I61" s="393">
        <f t="shared" si="68"/>
        <v>0</v>
      </c>
      <c r="J61" s="393">
        <f t="shared" si="68"/>
        <v>0</v>
      </c>
      <c r="K61" s="393">
        <f t="shared" si="68"/>
        <v>0</v>
      </c>
      <c r="L61" s="393">
        <f t="shared" si="68"/>
        <v>0</v>
      </c>
      <c r="M61" s="393">
        <f t="shared" si="68"/>
        <v>0</v>
      </c>
      <c r="N61" s="393">
        <f t="shared" si="68"/>
        <v>0</v>
      </c>
      <c r="O61" s="394">
        <f t="shared" si="68"/>
        <v>0</v>
      </c>
      <c r="S61" s="589">
        <f>IFERROR($E61*AC61,0)</f>
        <v>0</v>
      </c>
      <c r="T61" s="590">
        <f t="shared" ref="T61" si="69">IFERROR($E61*AD61,0)</f>
        <v>0</v>
      </c>
      <c r="U61" s="590">
        <f t="shared" ref="U61" si="70">IFERROR($E61*AE61,0)</f>
        <v>0</v>
      </c>
      <c r="V61" s="585">
        <f t="shared" ref="V61" si="71">IFERROR($E61*AF61,0)</f>
        <v>0</v>
      </c>
      <c r="W61" s="585">
        <f t="shared" ref="W61" si="72">IFERROR($E61*AG61,0)</f>
        <v>0</v>
      </c>
      <c r="X61" s="585">
        <f t="shared" ref="X61" si="73">IFERROR($E61*AH61,0)</f>
        <v>0</v>
      </c>
      <c r="Y61" s="585">
        <f t="shared" ref="Y61" si="74">IFERROR($E61*AI61,0)</f>
        <v>0</v>
      </c>
      <c r="Z61" s="585">
        <f t="shared" ref="Z61" si="75">IFERROR($E61*AJ61,0)</f>
        <v>0</v>
      </c>
      <c r="AA61" s="588">
        <f t="shared" ref="AA61" si="76">IFERROR($E61*AK61,0)</f>
        <v>0</v>
      </c>
      <c r="AC61" s="589">
        <f>IFERROR(VLOOKUP($B61,$AM$44:$AX$107,3,FALSE),0)</f>
        <v>0</v>
      </c>
      <c r="AD61" s="590">
        <f>IFERROR(VLOOKUP($B61,$AM$44:$AX$107,4,FALSE),0)</f>
        <v>0</v>
      </c>
      <c r="AE61" s="590">
        <f t="shared" si="38"/>
        <v>0</v>
      </c>
      <c r="AF61" s="585">
        <f>IFERROR(VLOOKUP($B61,$AM$44:$AX$107,6,FALSE),0)</f>
        <v>0</v>
      </c>
      <c r="AG61" s="585">
        <f t="shared" si="39"/>
        <v>0</v>
      </c>
      <c r="AH61" s="585">
        <f t="shared" si="40"/>
        <v>0</v>
      </c>
      <c r="AI61" s="585">
        <f t="shared" si="41"/>
        <v>0</v>
      </c>
      <c r="AJ61" s="585">
        <f t="shared" si="42"/>
        <v>0</v>
      </c>
      <c r="AK61" s="588">
        <f t="shared" si="43"/>
        <v>0</v>
      </c>
      <c r="AM61" s="66">
        <v>10300209</v>
      </c>
      <c r="AN61" s="68" t="s">
        <v>2318</v>
      </c>
      <c r="AO61" s="762">
        <v>0.78</v>
      </c>
      <c r="AP61" s="762">
        <v>0.31</v>
      </c>
      <c r="AQ61" s="762">
        <v>2.185792349726776E-3</v>
      </c>
      <c r="AR61" s="763">
        <v>2.08</v>
      </c>
      <c r="AS61" s="762">
        <v>2.7322404371584699E-3</v>
      </c>
      <c r="AT61" s="762">
        <v>0.27</v>
      </c>
      <c r="AU61" s="762">
        <f>250+(0.0025*25)+(0.00167*298)</f>
        <v>250.56016</v>
      </c>
      <c r="AV61" s="629">
        <v>5.0699999999999996E-4</v>
      </c>
      <c r="AW61" s="629">
        <v>7.6656000000000002E-2</v>
      </c>
      <c r="AX61" s="756" t="s">
        <v>2284</v>
      </c>
      <c r="AZ61" s="68"/>
      <c r="BA61" s="66"/>
      <c r="BB61" s="68"/>
    </row>
    <row r="62" spans="1:54" ht="18" customHeight="1" x14ac:dyDescent="0.25">
      <c r="A62" s="1335" t="str">
        <f>IF('Table 3-A| Emission Units'!$A120=0,"",'Table 3-A| Emission Units'!A120)</f>
        <v>Combustion Turbine Emission Units</v>
      </c>
      <c r="B62" s="1336" t="str">
        <f>IF('Table 3-A| Emission Units'!$A120=0,"",'Table 3-A| Emission Units'!B120&amp;"-"&amp;'Table 3-A| Emission Units'!C120)</f>
        <v>-</v>
      </c>
      <c r="C62" s="1336" t="str">
        <f>IF('Table 3-A| Emission Units'!$A120=0,"",'Table 3-A| Emission Units'!C120&amp;"-"&amp;'Table 3-A| Emission Units'!D120)</f>
        <v>-</v>
      </c>
      <c r="D62" s="1336" t="str">
        <f>IF('Table 3-A| Emission Units'!$A120=0,"",'Table 3-A| Emission Units'!D120&amp;"-"&amp;'Table 3-A| Emission Units'!E120)</f>
        <v>-</v>
      </c>
      <c r="E62" s="1336" t="str">
        <f>IF('Table 3-A| Emission Units'!$A120=0,"",'Table 3-A| Emission Units'!E120&amp;"-"&amp;'Table 3-A| Emission Units'!F120)</f>
        <v>-</v>
      </c>
      <c r="F62" s="1336" t="str">
        <f>IF('Table 3-A| Emission Units'!$A120=0,"",'Table 3-A| Emission Units'!F120&amp;"-"&amp;'Table 3-A| Emission Units'!G120)</f>
        <v>-</v>
      </c>
      <c r="G62" s="1336" t="str">
        <f>IF('Table 3-A| Emission Units'!$A120=0,"",'Table 3-A| Emission Units'!G120&amp;"-"&amp;'Table 3-A| Emission Units'!H120)</f>
        <v>-</v>
      </c>
      <c r="H62" s="1336" t="str">
        <f>IF('Table 3-A| Emission Units'!$A120=0,"",'Table 3-A| Emission Units'!H120&amp;"-"&amp;'Table 3-A| Emission Units'!I120)</f>
        <v>-</v>
      </c>
      <c r="I62" s="1336" t="str">
        <f>IF('Table 3-A| Emission Units'!$A120=0,"",'Table 3-A| Emission Units'!I120&amp;"-"&amp;'Table 3-A| Emission Units'!J120)</f>
        <v>-</v>
      </c>
      <c r="J62" s="1336" t="str">
        <f>IF('Table 3-A| Emission Units'!$A120=0,"",'Table 3-A| Emission Units'!J120&amp;"-"&amp;'Table 3-A| Emission Units'!K120)</f>
        <v>-</v>
      </c>
      <c r="K62" s="1336" t="str">
        <f>IF('Table 3-A| Emission Units'!$A120=0,"",'Table 3-A| Emission Units'!K120&amp;"-"&amp;'Table 3-A| Emission Units'!L120)</f>
        <v>-</v>
      </c>
      <c r="L62" s="1336" t="str">
        <f>IF('Table 3-A| Emission Units'!$A120=0,"",'Table 3-A| Emission Units'!L120&amp;"-"&amp;'Table 3-A| Emission Units'!M120)</f>
        <v>-</v>
      </c>
      <c r="M62" s="1336" t="str">
        <f>IF('Table 3-A| Emission Units'!$A120=0,"",'Table 3-A| Emission Units'!M120&amp;"-"&amp;'Table 3-A| Emission Units'!N120)</f>
        <v>-</v>
      </c>
      <c r="N62" s="1336" t="str">
        <f>IF('Table 3-A| Emission Units'!$A120=0,"",'Table 3-A| Emission Units'!N120&amp;"-"&amp;'Table 3-A| Emission Units'!O120)</f>
        <v>-</v>
      </c>
      <c r="O62" s="1337" t="str">
        <f>IF('Table 3-A| Emission Units'!$A120=0,"",'Table 3-A| Emission Units'!O120&amp;"-"&amp;'Table 3-A| Emission Units'!P120)</f>
        <v>-</v>
      </c>
      <c r="S62" s="1338"/>
      <c r="T62" s="1339"/>
      <c r="U62" s="1339"/>
      <c r="V62" s="1339"/>
      <c r="W62" s="1339"/>
      <c r="X62" s="1339"/>
      <c r="Y62" s="1339"/>
      <c r="Z62" s="1339"/>
      <c r="AA62" s="1340"/>
      <c r="AC62" s="1338"/>
      <c r="AD62" s="1339"/>
      <c r="AE62" s="1339"/>
      <c r="AF62" s="1339"/>
      <c r="AG62" s="1339"/>
      <c r="AH62" s="1339"/>
      <c r="AI62" s="1339"/>
      <c r="AJ62" s="1339"/>
      <c r="AK62" s="1340"/>
      <c r="AM62" s="66">
        <v>10300219</v>
      </c>
      <c r="AN62" s="68" t="s">
        <v>2313</v>
      </c>
      <c r="AO62" s="764">
        <v>9.6000000000000002E-2</v>
      </c>
      <c r="AP62" s="764">
        <v>2.5000000000000001E-2</v>
      </c>
      <c r="AQ62" s="762">
        <v>0.63</v>
      </c>
      <c r="AR62" s="763">
        <v>1.625</v>
      </c>
      <c r="AS62" s="762">
        <v>2.9166666666666668E-3</v>
      </c>
      <c r="AT62" s="762">
        <v>0.03</v>
      </c>
      <c r="AU62" s="762">
        <f>250+(0.0025*25)+(0.00167*298)</f>
        <v>250.56016</v>
      </c>
      <c r="AV62" s="629">
        <v>1.7499999999999998E-5</v>
      </c>
      <c r="AW62" s="629">
        <v>5.6750000000000002E-2</v>
      </c>
      <c r="AX62" s="756" t="s">
        <v>2284</v>
      </c>
      <c r="AZ62" s="68"/>
      <c r="BA62" s="66"/>
      <c r="BB62" s="68"/>
    </row>
    <row r="63" spans="1:54" ht="18" customHeight="1" x14ac:dyDescent="0.25">
      <c r="A63" s="630">
        <f>IF('Table 3-A| Emission Units'!$A121=0,0,'Table 3-A| Emission Units'!A121&amp;"-"&amp;'Table 3-A| Emission Units'!B121)</f>
        <v>0</v>
      </c>
      <c r="B63" s="626">
        <f ca="1">'Table 3-A| Emission Units'!$C121</f>
        <v>0</v>
      </c>
      <c r="C63" s="1352">
        <f>IFERROR('Table 3-A| Emission Units'!$E$49,0)</f>
        <v>0</v>
      </c>
      <c r="D63" s="1355" t="str">
        <f ca="1">IFERROR(VLOOKUP($B63,$AM$44:$AX$107,12,FALSE),"")</f>
        <v/>
      </c>
      <c r="E63" s="1352">
        <f t="shared" si="56"/>
        <v>0</v>
      </c>
      <c r="F63" s="1352" t="str">
        <f>IF($A63="","","WebFIRE")</f>
        <v>WebFIRE</v>
      </c>
      <c r="G63" s="1358">
        <f ca="1">LARGE(S63:S64,1)</f>
        <v>0</v>
      </c>
      <c r="H63" s="1361">
        <f t="shared" ref="H63" ca="1" si="77">LARGE(T63:T64,1)</f>
        <v>0</v>
      </c>
      <c r="I63" s="1361">
        <f t="shared" ref="I63" ca="1" si="78">LARGE(U63:U64,1)</f>
        <v>0</v>
      </c>
      <c r="J63" s="1361">
        <f t="shared" ref="J63" ca="1" si="79">LARGE(V63:V64,1)</f>
        <v>0</v>
      </c>
      <c r="K63" s="1361">
        <f t="shared" ref="K63" ca="1" si="80">LARGE(W63:W64,1)</f>
        <v>0</v>
      </c>
      <c r="L63" s="1361">
        <f t="shared" ref="L63" ca="1" si="81">LARGE(X63:X64,1)</f>
        <v>0</v>
      </c>
      <c r="M63" s="1361">
        <f t="shared" ref="M63" ca="1" si="82">LARGE(Y63:Y64,1)</f>
        <v>0</v>
      </c>
      <c r="N63" s="1361">
        <f t="shared" ref="N63" ca="1" si="83">LARGE(Z63:Z64,1)</f>
        <v>0</v>
      </c>
      <c r="O63" s="1343">
        <f t="shared" ref="O63" ca="1" si="84">LARGE(AA63:AA64,1)</f>
        <v>0</v>
      </c>
      <c r="S63" s="589">
        <f ca="1">IFERROR($E63*AC63,0)</f>
        <v>0</v>
      </c>
      <c r="T63" s="590">
        <f t="shared" ref="T63" ca="1" si="85">IFERROR($E63*AD63,0)</f>
        <v>0</v>
      </c>
      <c r="U63" s="590">
        <f t="shared" ref="U63" ca="1" si="86">IFERROR($E63*AE63,0)</f>
        <v>0</v>
      </c>
      <c r="V63" s="585">
        <f ca="1">IFERROR($E63*AF63,0)</f>
        <v>0</v>
      </c>
      <c r="W63" s="585">
        <f t="shared" ref="W63" ca="1" si="87">IFERROR($E63*AG63,0)</f>
        <v>0</v>
      </c>
      <c r="X63" s="585">
        <f t="shared" ref="X63" ca="1" si="88">IFERROR($E63*AH63,0)</f>
        <v>0</v>
      </c>
      <c r="Y63" s="585">
        <f t="shared" ref="Y63" ca="1" si="89">IFERROR($E63*AI63,0)</f>
        <v>0</v>
      </c>
      <c r="Z63" s="585">
        <f t="shared" ref="Z63" ca="1" si="90">IFERROR($E63*AJ63,0)</f>
        <v>0</v>
      </c>
      <c r="AA63" s="588">
        <f t="shared" ref="AA63" ca="1" si="91">IFERROR($E63*AK63,0)</f>
        <v>0</v>
      </c>
      <c r="AC63" s="589">
        <f t="shared" ref="AC63:AC68" ca="1" si="92">IFERROR(VLOOKUP($B63,$AM$44:$AX$107,3,FALSE),0)</f>
        <v>0</v>
      </c>
      <c r="AD63" s="590">
        <f t="shared" ref="AD63:AD68" ca="1" si="93">IFERROR(VLOOKUP($B63,$AM$44:$AX$107,4,FALSE),0)</f>
        <v>0</v>
      </c>
      <c r="AE63" s="590">
        <f t="shared" ca="1" si="38"/>
        <v>0</v>
      </c>
      <c r="AF63" s="585">
        <f t="shared" ref="AF63:AF68" ca="1" si="94">IFERROR(VLOOKUP($B63,$AM$44:$AX$107,6,FALSE),0)</f>
        <v>0</v>
      </c>
      <c r="AG63" s="585">
        <f t="shared" ca="1" si="39"/>
        <v>0</v>
      </c>
      <c r="AH63" s="585">
        <f t="shared" ca="1" si="40"/>
        <v>0</v>
      </c>
      <c r="AI63" s="585">
        <f t="shared" ca="1" si="41"/>
        <v>0</v>
      </c>
      <c r="AJ63" s="585">
        <f t="shared" ca="1" si="42"/>
        <v>0</v>
      </c>
      <c r="AK63" s="588">
        <f t="shared" ca="1" si="43"/>
        <v>0</v>
      </c>
      <c r="AM63" s="66">
        <v>10300224</v>
      </c>
      <c r="AN63" s="68" t="s">
        <v>2319</v>
      </c>
      <c r="AO63" s="762">
        <v>0.77</v>
      </c>
      <c r="AP63" s="762">
        <v>0.3</v>
      </c>
      <c r="AQ63" s="762">
        <v>0.48</v>
      </c>
      <c r="AR63" s="763">
        <v>1.913</v>
      </c>
      <c r="AS63" s="762">
        <v>2.7322404371584699E-3</v>
      </c>
      <c r="AT63" s="762">
        <v>0.27</v>
      </c>
      <c r="AU63" s="762">
        <f>262.8+(0.00328*25)+(0.00219*298)</f>
        <v>263.53462000000002</v>
      </c>
      <c r="AV63" s="629">
        <v>5.0699999999999996E-4</v>
      </c>
      <c r="AW63" s="629">
        <v>7.6656000000000002E-2</v>
      </c>
      <c r="AX63" s="756" t="s">
        <v>2284</v>
      </c>
      <c r="AZ63" s="68"/>
      <c r="BA63" s="66"/>
      <c r="BB63" s="68"/>
    </row>
    <row r="64" spans="1:54" ht="18" customHeight="1" thickBot="1" x14ac:dyDescent="0.3">
      <c r="A64" s="309">
        <f>IF('Table 3-A| Emission Units'!$A122=0,0,'Table 3-A| Emission Units'!A122&amp;"-"&amp;'Table 3-A| Emission Units'!B122)</f>
        <v>0</v>
      </c>
      <c r="B64" s="310">
        <f ca="1">'Table 3-A| Emission Units'!$C122</f>
        <v>0</v>
      </c>
      <c r="C64" s="1354"/>
      <c r="D64" s="1357"/>
      <c r="E64" s="1354"/>
      <c r="F64" s="1354"/>
      <c r="G64" s="1360"/>
      <c r="H64" s="1363"/>
      <c r="I64" s="1363"/>
      <c r="J64" s="1363"/>
      <c r="K64" s="1363"/>
      <c r="L64" s="1363"/>
      <c r="M64" s="1363"/>
      <c r="N64" s="1363"/>
      <c r="O64" s="1345"/>
      <c r="S64" s="768">
        <f t="shared" ref="S64:AA64" ca="1" si="95">IFERROR($E63*AC64,0)</f>
        <v>0</v>
      </c>
      <c r="T64" s="769">
        <f t="shared" ca="1" si="95"/>
        <v>0</v>
      </c>
      <c r="U64" s="769">
        <f t="shared" ca="1" si="95"/>
        <v>0</v>
      </c>
      <c r="V64" s="592">
        <f t="shared" ca="1" si="95"/>
        <v>0</v>
      </c>
      <c r="W64" s="592">
        <f t="shared" ca="1" si="95"/>
        <v>0</v>
      </c>
      <c r="X64" s="592">
        <f t="shared" ca="1" si="95"/>
        <v>0</v>
      </c>
      <c r="Y64" s="592">
        <f t="shared" ca="1" si="95"/>
        <v>0</v>
      </c>
      <c r="Z64" s="592">
        <f t="shared" ca="1" si="95"/>
        <v>0</v>
      </c>
      <c r="AA64" s="593">
        <f t="shared" ca="1" si="95"/>
        <v>0</v>
      </c>
      <c r="AC64" s="768">
        <f t="shared" ca="1" si="92"/>
        <v>0</v>
      </c>
      <c r="AD64" s="769">
        <f t="shared" ca="1" si="93"/>
        <v>0</v>
      </c>
      <c r="AE64" s="769">
        <f t="shared" ca="1" si="38"/>
        <v>0</v>
      </c>
      <c r="AF64" s="592">
        <f t="shared" ca="1" si="94"/>
        <v>0</v>
      </c>
      <c r="AG64" s="592">
        <f t="shared" ca="1" si="39"/>
        <v>0</v>
      </c>
      <c r="AH64" s="592">
        <f t="shared" ca="1" si="40"/>
        <v>0</v>
      </c>
      <c r="AI64" s="592">
        <f t="shared" ca="1" si="41"/>
        <v>0</v>
      </c>
      <c r="AJ64" s="592">
        <f t="shared" ca="1" si="42"/>
        <v>0</v>
      </c>
      <c r="AK64" s="593">
        <f t="shared" ca="1" si="43"/>
        <v>0</v>
      </c>
      <c r="AM64" s="66">
        <v>10300229</v>
      </c>
      <c r="AN64" s="68" t="s">
        <v>2315</v>
      </c>
      <c r="AO64" s="764">
        <v>0.126</v>
      </c>
      <c r="AP64" s="764">
        <v>3.3000000000000002E-2</v>
      </c>
      <c r="AQ64" s="762">
        <v>0.79</v>
      </c>
      <c r="AR64" s="763">
        <v>1.913</v>
      </c>
      <c r="AS64" s="762">
        <v>3.2786885245901635E-3</v>
      </c>
      <c r="AT64" s="762">
        <v>0.03</v>
      </c>
      <c r="AU64" s="762">
        <f>262.8+(0.00328*25)+(0.00219*298)</f>
        <v>263.53462000000002</v>
      </c>
      <c r="AV64" s="629">
        <v>2.2950819672131099E-5</v>
      </c>
      <c r="AW64" s="629">
        <v>7.4399999999999994E-2</v>
      </c>
      <c r="AX64" s="756" t="s">
        <v>2284</v>
      </c>
      <c r="AZ64" s="68"/>
      <c r="BA64" s="66"/>
      <c r="BB64" s="68"/>
    </row>
    <row r="65" spans="1:54" ht="18" customHeight="1" x14ac:dyDescent="0.25">
      <c r="A65" s="630">
        <f>IF('Table 3-A| Emission Units'!$A123=0,0,'Table 3-A| Emission Units'!A123&amp;"-"&amp;'Table 3-A| Emission Units'!B123)</f>
        <v>0</v>
      </c>
      <c r="B65" s="626">
        <f ca="1">'Table 3-A| Emission Units'!$C123</f>
        <v>0</v>
      </c>
      <c r="C65" s="1352">
        <f>IFERROR('Table 3-A| Emission Units'!$E$54,0)</f>
        <v>0</v>
      </c>
      <c r="D65" s="1355" t="str">
        <f ca="1">IFERROR(VLOOKUP($B65,$AM$44:$AX$107,12,FALSE),"")</f>
        <v/>
      </c>
      <c r="E65" s="1352">
        <f t="shared" si="56"/>
        <v>0</v>
      </c>
      <c r="F65" s="1352" t="s">
        <v>1859</v>
      </c>
      <c r="G65" s="1358">
        <f t="shared" ref="G65" ca="1" si="96">LARGE(S65:S66,1)</f>
        <v>0</v>
      </c>
      <c r="H65" s="1361">
        <f t="shared" ref="H65" ca="1" si="97">LARGE(T65:T66,1)</f>
        <v>0</v>
      </c>
      <c r="I65" s="1361">
        <f t="shared" ref="I65" ca="1" si="98">LARGE(U65:U66,1)</f>
        <v>0</v>
      </c>
      <c r="J65" s="1361">
        <f t="shared" ref="J65" ca="1" si="99">LARGE(V65:V66,1)</f>
        <v>0</v>
      </c>
      <c r="K65" s="1361">
        <f t="shared" ref="K65" ca="1" si="100">LARGE(W65:W66,1)</f>
        <v>0</v>
      </c>
      <c r="L65" s="1361">
        <f t="shared" ref="L65" ca="1" si="101">LARGE(X65:X66,1)</f>
        <v>0</v>
      </c>
      <c r="M65" s="1361">
        <f t="shared" ref="M65" ca="1" si="102">LARGE(Y65:Y66,1)</f>
        <v>0</v>
      </c>
      <c r="N65" s="1361">
        <f t="shared" ref="N65" ca="1" si="103">LARGE(Z65:Z66,1)</f>
        <v>0</v>
      </c>
      <c r="O65" s="1343">
        <f t="shared" ref="O65" ca="1" si="104">LARGE(AA65:AA66,1)</f>
        <v>0</v>
      </c>
      <c r="S65" s="589">
        <f ca="1">IFERROR($E65*AC65,0)</f>
        <v>0</v>
      </c>
      <c r="T65" s="590">
        <f t="shared" ref="T65" ca="1" si="105">IFERROR($E65*AD65,0)</f>
        <v>0</v>
      </c>
      <c r="U65" s="590">
        <f t="shared" ref="U65" ca="1" si="106">IFERROR($E65*AE65,0)</f>
        <v>0</v>
      </c>
      <c r="V65" s="585">
        <f t="shared" ref="V65" ca="1" si="107">IFERROR($E65*AF65,0)</f>
        <v>0</v>
      </c>
      <c r="W65" s="585">
        <f t="shared" ref="W65" ca="1" si="108">IFERROR($E65*AG65,0)</f>
        <v>0</v>
      </c>
      <c r="X65" s="585">
        <f t="shared" ref="X65" ca="1" si="109">IFERROR($E65*AH65,0)</f>
        <v>0</v>
      </c>
      <c r="Y65" s="585">
        <f t="shared" ref="Y65" ca="1" si="110">IFERROR($E65*AI65,0)</f>
        <v>0</v>
      </c>
      <c r="Z65" s="585">
        <f t="shared" ref="Z65" ca="1" si="111">IFERROR($E65*AJ65,0)</f>
        <v>0</v>
      </c>
      <c r="AA65" s="588">
        <f t="shared" ref="AA65" ca="1" si="112">IFERROR($E65*AK65,0)</f>
        <v>0</v>
      </c>
      <c r="AC65" s="589">
        <f t="shared" ca="1" si="92"/>
        <v>0</v>
      </c>
      <c r="AD65" s="590">
        <f t="shared" ca="1" si="93"/>
        <v>0</v>
      </c>
      <c r="AE65" s="590">
        <f t="shared" ca="1" si="38"/>
        <v>0</v>
      </c>
      <c r="AF65" s="585">
        <f t="shared" ca="1" si="94"/>
        <v>0</v>
      </c>
      <c r="AG65" s="585">
        <f t="shared" ca="1" si="39"/>
        <v>0</v>
      </c>
      <c r="AH65" s="585">
        <f t="shared" ca="1" si="40"/>
        <v>0</v>
      </c>
      <c r="AI65" s="585">
        <f t="shared" ca="1" si="41"/>
        <v>0</v>
      </c>
      <c r="AJ65" s="585">
        <f t="shared" ca="1" si="42"/>
        <v>0</v>
      </c>
      <c r="AK65" s="588">
        <f t="shared" ca="1" si="43"/>
        <v>0</v>
      </c>
      <c r="AM65" s="66">
        <v>10300401</v>
      </c>
      <c r="AN65" s="68" t="s">
        <v>2299</v>
      </c>
      <c r="AO65" s="762">
        <v>4.9000000000000002E-2</v>
      </c>
      <c r="AP65" s="762">
        <v>3.5000000000000003E-2</v>
      </c>
      <c r="AQ65" s="762">
        <v>0.308</v>
      </c>
      <c r="AR65" s="762">
        <v>5.2999999999999999E-2</v>
      </c>
      <c r="AS65" s="762">
        <v>1.0999999999999999E-2</v>
      </c>
      <c r="AT65" s="762">
        <v>3.3000000000000002E-2</v>
      </c>
      <c r="AU65" s="762">
        <f>164.04+(0.00312*25)+(0.00348*298)</f>
        <v>165.15503999999999</v>
      </c>
      <c r="AV65" s="629">
        <v>4.2485696482184333E-10</v>
      </c>
      <c r="AW65" s="629">
        <v>4.0000000000000002E-4</v>
      </c>
      <c r="AX65" s="756" t="s">
        <v>2284</v>
      </c>
      <c r="AZ65" s="68"/>
      <c r="BA65" s="66"/>
      <c r="BB65" s="68"/>
    </row>
    <row r="66" spans="1:54" ht="18" customHeight="1" thickBot="1" x14ac:dyDescent="0.3">
      <c r="A66" s="309">
        <f>IF('Table 3-A| Emission Units'!$A124=0,0,'Table 3-A| Emission Units'!A124&amp;"-"&amp;'Table 3-A| Emission Units'!B124)</f>
        <v>0</v>
      </c>
      <c r="B66" s="310">
        <f ca="1">'Table 3-A| Emission Units'!$C124</f>
        <v>0</v>
      </c>
      <c r="C66" s="1354"/>
      <c r="D66" s="1357"/>
      <c r="E66" s="1354"/>
      <c r="F66" s="1354"/>
      <c r="G66" s="1360"/>
      <c r="H66" s="1363"/>
      <c r="I66" s="1363"/>
      <c r="J66" s="1363"/>
      <c r="K66" s="1363"/>
      <c r="L66" s="1363"/>
      <c r="M66" s="1363"/>
      <c r="N66" s="1363"/>
      <c r="O66" s="1345"/>
      <c r="S66" s="768">
        <f t="shared" ref="S66:AA66" ca="1" si="113">IFERROR($E65*AC66,0)</f>
        <v>0</v>
      </c>
      <c r="T66" s="769">
        <f t="shared" ca="1" si="113"/>
        <v>0</v>
      </c>
      <c r="U66" s="769">
        <f t="shared" ca="1" si="113"/>
        <v>0</v>
      </c>
      <c r="V66" s="592">
        <f t="shared" ca="1" si="113"/>
        <v>0</v>
      </c>
      <c r="W66" s="592">
        <f t="shared" ca="1" si="113"/>
        <v>0</v>
      </c>
      <c r="X66" s="592">
        <f t="shared" ca="1" si="113"/>
        <v>0</v>
      </c>
      <c r="Y66" s="592">
        <f t="shared" ca="1" si="113"/>
        <v>0</v>
      </c>
      <c r="Z66" s="592">
        <f t="shared" ca="1" si="113"/>
        <v>0</v>
      </c>
      <c r="AA66" s="593">
        <f t="shared" ca="1" si="113"/>
        <v>0</v>
      </c>
      <c r="AB66" s="547"/>
      <c r="AC66" s="768">
        <f t="shared" ca="1" si="92"/>
        <v>0</v>
      </c>
      <c r="AD66" s="769">
        <f t="shared" ca="1" si="93"/>
        <v>0</v>
      </c>
      <c r="AE66" s="769">
        <f t="shared" ca="1" si="38"/>
        <v>0</v>
      </c>
      <c r="AF66" s="592">
        <f t="shared" ca="1" si="94"/>
        <v>0</v>
      </c>
      <c r="AG66" s="592">
        <f t="shared" ca="1" si="39"/>
        <v>0</v>
      </c>
      <c r="AH66" s="592">
        <f t="shared" ca="1" si="40"/>
        <v>0</v>
      </c>
      <c r="AI66" s="592">
        <f t="shared" ca="1" si="41"/>
        <v>0</v>
      </c>
      <c r="AJ66" s="592">
        <f t="shared" ca="1" si="42"/>
        <v>0</v>
      </c>
      <c r="AK66" s="593">
        <f t="shared" ca="1" si="43"/>
        <v>0</v>
      </c>
      <c r="AM66" s="66">
        <v>10300402</v>
      </c>
      <c r="AN66" s="68" t="s">
        <v>2300</v>
      </c>
      <c r="AO66" s="762">
        <v>4.9000000000000002E-2</v>
      </c>
      <c r="AP66" s="762">
        <v>3.5000000000000003E-2</v>
      </c>
      <c r="AQ66" s="762">
        <v>0.308</v>
      </c>
      <c r="AR66" s="762">
        <v>5.2999999999999999E-2</v>
      </c>
      <c r="AS66" s="762">
        <v>1.0999999999999999E-2</v>
      </c>
      <c r="AT66" s="762">
        <v>3.3000000000000002E-2</v>
      </c>
      <c r="AU66" s="762">
        <f>164.04+(0.00312*25)+(0.00348*298)</f>
        <v>165.15503999999999</v>
      </c>
      <c r="AV66" s="629">
        <v>4.2485696482184333E-10</v>
      </c>
      <c r="AW66" s="629">
        <v>4.0000000000000002E-4</v>
      </c>
      <c r="AX66" s="756" t="s">
        <v>2284</v>
      </c>
      <c r="AZ66" s="68"/>
      <c r="BA66" s="66"/>
      <c r="BB66" s="68"/>
    </row>
    <row r="67" spans="1:54" ht="18" customHeight="1" x14ac:dyDescent="0.25">
      <c r="A67" s="630">
        <f>IF('Table 3-A| Emission Units'!$A125=0,0,'Table 3-A| Emission Units'!A125&amp;"-"&amp;'Table 3-A| Emission Units'!B125)</f>
        <v>0</v>
      </c>
      <c r="B67" s="626">
        <f ca="1">'Table 3-A| Emission Units'!$C125</f>
        <v>0</v>
      </c>
      <c r="C67" s="1352">
        <f>IFERROR('Table 3-A| Emission Units'!$E$59,0)</f>
        <v>0</v>
      </c>
      <c r="D67" s="1355" t="str">
        <f ca="1">IFERROR(VLOOKUP($B67,$AM$44:$AX$107,12,FALSE),"")</f>
        <v/>
      </c>
      <c r="E67" s="1352">
        <f t="shared" si="56"/>
        <v>0</v>
      </c>
      <c r="F67" s="1352" t="s">
        <v>1859</v>
      </c>
      <c r="G67" s="1358">
        <f t="shared" ref="G67" ca="1" si="114">LARGE(S67:S68,1)</f>
        <v>0</v>
      </c>
      <c r="H67" s="1361">
        <f t="shared" ref="H67" ca="1" si="115">LARGE(T67:T68,1)</f>
        <v>0</v>
      </c>
      <c r="I67" s="1361">
        <f t="shared" ref="I67" ca="1" si="116">LARGE(U67:U68,1)</f>
        <v>0</v>
      </c>
      <c r="J67" s="1361">
        <f t="shared" ref="J67" ca="1" si="117">LARGE(V67:V68,1)</f>
        <v>0</v>
      </c>
      <c r="K67" s="1361">
        <f t="shared" ref="K67" ca="1" si="118">LARGE(W67:W68,1)</f>
        <v>0</v>
      </c>
      <c r="L67" s="1361">
        <f t="shared" ref="L67" ca="1" si="119">LARGE(X67:X68,1)</f>
        <v>0</v>
      </c>
      <c r="M67" s="1361">
        <f t="shared" ref="M67" ca="1" si="120">LARGE(Y67:Y68,1)</f>
        <v>0</v>
      </c>
      <c r="N67" s="1361">
        <f t="shared" ref="N67" ca="1" si="121">LARGE(Z67:Z68,1)</f>
        <v>0</v>
      </c>
      <c r="O67" s="1343">
        <f t="shared" ref="O67" ca="1" si="122">LARGE(AA67:AA68,1)</f>
        <v>0</v>
      </c>
      <c r="S67" s="766">
        <f ca="1">IFERROR($E67*AC67,0)</f>
        <v>0</v>
      </c>
      <c r="T67" s="767">
        <f t="shared" ref="T67" ca="1" si="123">IFERROR($E67*AD67,0)</f>
        <v>0</v>
      </c>
      <c r="U67" s="767">
        <f t="shared" ref="U67" ca="1" si="124">IFERROR($E67*AE67,0)</f>
        <v>0</v>
      </c>
      <c r="V67" s="584">
        <f t="shared" ref="V67" ca="1" si="125">IFERROR($E67*AF67,0)</f>
        <v>0</v>
      </c>
      <c r="W67" s="584">
        <f t="shared" ref="W67" ca="1" si="126">IFERROR($E67*AG67,0)</f>
        <v>0</v>
      </c>
      <c r="X67" s="584">
        <f t="shared" ref="X67" ca="1" si="127">IFERROR($E67*AH67,0)</f>
        <v>0</v>
      </c>
      <c r="Y67" s="584">
        <f t="shared" ref="Y67" ca="1" si="128">IFERROR($E67*AI67,0)</f>
        <v>0</v>
      </c>
      <c r="Z67" s="584">
        <f t="shared" ref="Z67" ca="1" si="129">IFERROR($E67*AJ67,0)</f>
        <v>0</v>
      </c>
      <c r="AA67" s="765">
        <f t="shared" ref="AA67" ca="1" si="130">IFERROR($E67*AK67,0)</f>
        <v>0</v>
      </c>
      <c r="AB67" s="547"/>
      <c r="AC67" s="766">
        <f t="shared" ca="1" si="92"/>
        <v>0</v>
      </c>
      <c r="AD67" s="767">
        <f t="shared" ca="1" si="93"/>
        <v>0</v>
      </c>
      <c r="AE67" s="767">
        <f t="shared" ca="1" si="38"/>
        <v>0</v>
      </c>
      <c r="AF67" s="584">
        <f t="shared" ca="1" si="94"/>
        <v>0</v>
      </c>
      <c r="AG67" s="584">
        <f t="shared" ca="1" si="39"/>
        <v>0</v>
      </c>
      <c r="AH67" s="584">
        <f t="shared" ca="1" si="40"/>
        <v>0</v>
      </c>
      <c r="AI67" s="584">
        <f t="shared" ca="1" si="41"/>
        <v>0</v>
      </c>
      <c r="AJ67" s="584">
        <f t="shared" ca="1" si="42"/>
        <v>0</v>
      </c>
      <c r="AK67" s="765">
        <f t="shared" ca="1" si="43"/>
        <v>0</v>
      </c>
      <c r="AM67" s="66">
        <v>10300403</v>
      </c>
      <c r="AN67" s="68" t="s">
        <v>2301</v>
      </c>
      <c r="AO67" s="762">
        <v>4.9000000000000002E-2</v>
      </c>
      <c r="AP67" s="762">
        <v>3.5000000000000003E-2</v>
      </c>
      <c r="AQ67" s="762">
        <v>0.308</v>
      </c>
      <c r="AR67" s="762">
        <v>5.2999999999999999E-2</v>
      </c>
      <c r="AS67" s="762">
        <v>1.0999999999999999E-2</v>
      </c>
      <c r="AT67" s="762">
        <v>3.3000000000000002E-2</v>
      </c>
      <c r="AU67" s="762">
        <f>164.04+(0.00312*25)+(0.00348*298)</f>
        <v>165.15503999999999</v>
      </c>
      <c r="AV67" s="629">
        <v>4.2485696482184333E-10</v>
      </c>
      <c r="AW67" s="629">
        <v>4.0000000000000002E-4</v>
      </c>
      <c r="AX67" s="756" t="s">
        <v>2284</v>
      </c>
      <c r="AZ67" s="68"/>
      <c r="BA67" s="66"/>
      <c r="BB67" s="68"/>
    </row>
    <row r="68" spans="1:54" ht="18" customHeight="1" thickBot="1" x14ac:dyDescent="0.3">
      <c r="A68" s="302">
        <f>IF('Table 3-A| Emission Units'!$A126=0,0,'Table 3-A| Emission Units'!A126&amp;"-"&amp;'Table 3-A| Emission Units'!B126)</f>
        <v>0</v>
      </c>
      <c r="B68" s="303">
        <f ca="1">'Table 3-A| Emission Units'!$C126</f>
        <v>0</v>
      </c>
      <c r="C68" s="1354"/>
      <c r="D68" s="1357"/>
      <c r="E68" s="1354"/>
      <c r="F68" s="1354"/>
      <c r="G68" s="1360"/>
      <c r="H68" s="1363"/>
      <c r="I68" s="1363"/>
      <c r="J68" s="1363"/>
      <c r="K68" s="1363"/>
      <c r="L68" s="1363"/>
      <c r="M68" s="1363"/>
      <c r="N68" s="1363"/>
      <c r="O68" s="1345"/>
      <c r="S68" s="589">
        <f t="shared" ref="S68:AA68" ca="1" si="131">IFERROR($E67*AC68,0)</f>
        <v>0</v>
      </c>
      <c r="T68" s="590">
        <f t="shared" ca="1" si="131"/>
        <v>0</v>
      </c>
      <c r="U68" s="590">
        <f t="shared" ca="1" si="131"/>
        <v>0</v>
      </c>
      <c r="V68" s="585">
        <f t="shared" ca="1" si="131"/>
        <v>0</v>
      </c>
      <c r="W68" s="585">
        <f t="shared" ca="1" si="131"/>
        <v>0</v>
      </c>
      <c r="X68" s="585">
        <f t="shared" ca="1" si="131"/>
        <v>0</v>
      </c>
      <c r="Y68" s="585">
        <f t="shared" ca="1" si="131"/>
        <v>0</v>
      </c>
      <c r="Z68" s="585">
        <f t="shared" ca="1" si="131"/>
        <v>0</v>
      </c>
      <c r="AA68" s="588">
        <f t="shared" ca="1" si="131"/>
        <v>0</v>
      </c>
      <c r="AC68" s="589">
        <f t="shared" ca="1" si="92"/>
        <v>0</v>
      </c>
      <c r="AD68" s="590">
        <f t="shared" ca="1" si="93"/>
        <v>0</v>
      </c>
      <c r="AE68" s="590">
        <f t="shared" ca="1" si="38"/>
        <v>0</v>
      </c>
      <c r="AF68" s="585">
        <f t="shared" ca="1" si="94"/>
        <v>0</v>
      </c>
      <c r="AG68" s="585">
        <f t="shared" ca="1" si="39"/>
        <v>0</v>
      </c>
      <c r="AH68" s="585">
        <f t="shared" ca="1" si="40"/>
        <v>0</v>
      </c>
      <c r="AI68" s="585">
        <f t="shared" ca="1" si="41"/>
        <v>0</v>
      </c>
      <c r="AJ68" s="585">
        <f t="shared" ca="1" si="42"/>
        <v>0</v>
      </c>
      <c r="AK68" s="588">
        <f t="shared" ca="1" si="43"/>
        <v>0</v>
      </c>
      <c r="AM68" s="66">
        <v>10300501</v>
      </c>
      <c r="AN68" s="68" t="s">
        <v>2305</v>
      </c>
      <c r="AO68" s="762">
        <v>1.7000000000000001E-2</v>
      </c>
      <c r="AP68" s="762">
        <v>1.0999999999999999E-2</v>
      </c>
      <c r="AQ68" s="762">
        <v>0.17299999999999999</v>
      </c>
      <c r="AR68" s="762">
        <v>5.2999999999999999E-2</v>
      </c>
      <c r="AS68" s="762">
        <v>1.81E-3</v>
      </c>
      <c r="AT68" s="762">
        <v>3.5999999999999997E-2</v>
      </c>
      <c r="AU68" s="762">
        <f>179.86+(0.000374*25)</f>
        <v>179.86935000000003</v>
      </c>
      <c r="AV68" s="629">
        <v>4.6581439884063981E-10</v>
      </c>
      <c r="AW68" s="629">
        <v>4.6299999999999998E-4</v>
      </c>
      <c r="AX68" s="756" t="s">
        <v>2284</v>
      </c>
      <c r="AZ68" s="68"/>
      <c r="BA68" s="66"/>
      <c r="BB68" s="68"/>
    </row>
    <row r="69" spans="1:54" ht="18" customHeight="1" x14ac:dyDescent="0.25">
      <c r="A69" s="1335" t="str">
        <f>IF('Table 3-A| Emission Units'!$A127=0,"",'Table 3-A| Emission Units'!A127)</f>
        <v>Stationary Engine Emission Units</v>
      </c>
      <c r="B69" s="1336" t="str">
        <f>IF('Table 3-A| Emission Units'!$A127=0,"",'Table 3-A| Emission Units'!B127&amp;"-"&amp;'Table 3-A| Emission Units'!C127)</f>
        <v>-</v>
      </c>
      <c r="C69" s="1336" t="str">
        <f>IF('Table 3-A| Emission Units'!$A127=0,"",'Table 3-A| Emission Units'!C127&amp;"-"&amp;'Table 3-A| Emission Units'!D127)</f>
        <v>-</v>
      </c>
      <c r="D69" s="1336" t="str">
        <f>IF('Table 3-A| Emission Units'!$A127=0,"",'Table 3-A| Emission Units'!D127&amp;"-"&amp;'Table 3-A| Emission Units'!E127)</f>
        <v>-</v>
      </c>
      <c r="E69" s="1336" t="str">
        <f>IF('Table 3-A| Emission Units'!$A127=0,"",'Table 3-A| Emission Units'!E127&amp;"-"&amp;'Table 3-A| Emission Units'!F127)</f>
        <v>-</v>
      </c>
      <c r="F69" s="1336" t="str">
        <f>IF('Table 3-A| Emission Units'!$A127=0,"",'Table 3-A| Emission Units'!F127&amp;"-"&amp;'Table 3-A| Emission Units'!G127)</f>
        <v>-</v>
      </c>
      <c r="G69" s="1336" t="str">
        <f>IF('Table 3-A| Emission Units'!$A127=0,"",'Table 3-A| Emission Units'!G127&amp;"-"&amp;'Table 3-A| Emission Units'!H127)</f>
        <v>-</v>
      </c>
      <c r="H69" s="1336" t="str">
        <f>IF('Table 3-A| Emission Units'!$A127=0,"",'Table 3-A| Emission Units'!H127&amp;"-"&amp;'Table 3-A| Emission Units'!I127)</f>
        <v>-</v>
      </c>
      <c r="I69" s="1336" t="str">
        <f>IF('Table 3-A| Emission Units'!$A127=0,"",'Table 3-A| Emission Units'!I127&amp;"-"&amp;'Table 3-A| Emission Units'!J127)</f>
        <v>-</v>
      </c>
      <c r="J69" s="1336" t="str">
        <f>IF('Table 3-A| Emission Units'!$A127=0,"",'Table 3-A| Emission Units'!J127&amp;"-"&amp;'Table 3-A| Emission Units'!K127)</f>
        <v>-</v>
      </c>
      <c r="K69" s="1336" t="str">
        <f>IF('Table 3-A| Emission Units'!$A127=0,"",'Table 3-A| Emission Units'!K127&amp;"-"&amp;'Table 3-A| Emission Units'!L127)</f>
        <v>-</v>
      </c>
      <c r="L69" s="1336" t="str">
        <f>IF('Table 3-A| Emission Units'!$A127=0,"",'Table 3-A| Emission Units'!L127&amp;"-"&amp;'Table 3-A| Emission Units'!M127)</f>
        <v>-</v>
      </c>
      <c r="M69" s="1336" t="str">
        <f>IF('Table 3-A| Emission Units'!$A127=0,"",'Table 3-A| Emission Units'!M127&amp;"-"&amp;'Table 3-A| Emission Units'!N127)</f>
        <v>-</v>
      </c>
      <c r="N69" s="1336" t="str">
        <f>IF('Table 3-A| Emission Units'!$A127=0,"",'Table 3-A| Emission Units'!N127&amp;"-"&amp;'Table 3-A| Emission Units'!O127)</f>
        <v>-</v>
      </c>
      <c r="O69" s="1337" t="str">
        <f>IF('Table 3-A| Emission Units'!$A127=0,"",'Table 3-A| Emission Units'!O127&amp;"-"&amp;'Table 3-A| Emission Units'!P127)</f>
        <v>-</v>
      </c>
      <c r="S69" s="1338"/>
      <c r="T69" s="1339"/>
      <c r="U69" s="1339"/>
      <c r="V69" s="1339"/>
      <c r="W69" s="1339"/>
      <c r="X69" s="1339"/>
      <c r="Y69" s="1339"/>
      <c r="Z69" s="1339"/>
      <c r="AA69" s="1340"/>
      <c r="AC69" s="1338"/>
      <c r="AD69" s="1339"/>
      <c r="AE69" s="1339"/>
      <c r="AF69" s="1339"/>
      <c r="AG69" s="1339"/>
      <c r="AH69" s="1339"/>
      <c r="AI69" s="1339"/>
      <c r="AJ69" s="1339"/>
      <c r="AK69" s="1340"/>
      <c r="AM69" s="66">
        <v>10300502</v>
      </c>
      <c r="AN69" s="68" t="s">
        <v>2306</v>
      </c>
      <c r="AO69" s="762">
        <v>1.7000000000000001E-2</v>
      </c>
      <c r="AP69" s="762">
        <v>1.0999999999999999E-2</v>
      </c>
      <c r="AQ69" s="762">
        <v>0.14399999999999999</v>
      </c>
      <c r="AR69" s="762">
        <v>5.1999999999999998E-2</v>
      </c>
      <c r="AS69" s="762">
        <v>1.81E-3</v>
      </c>
      <c r="AT69" s="762">
        <v>3.5999999999999997E-2</v>
      </c>
      <c r="AU69" s="762">
        <f>179.86+(0.000374*25)</f>
        <v>179.86935000000003</v>
      </c>
      <c r="AV69" s="629">
        <v>4.6581439884063981E-10</v>
      </c>
      <c r="AW69" s="629">
        <v>4.6299999999999998E-4</v>
      </c>
      <c r="AX69" s="756" t="s">
        <v>2284</v>
      </c>
      <c r="AZ69" s="68"/>
      <c r="BA69" s="66"/>
      <c r="BB69" s="68"/>
    </row>
    <row r="70" spans="1:54" ht="18" customHeight="1" x14ac:dyDescent="0.25">
      <c r="A70" s="302">
        <f>IF('Table 3-A| Emission Units'!$A128=0,0,'Table 3-A| Emission Units'!A128&amp;"-"&amp;'Table 3-A| Emission Units'!B128)</f>
        <v>0</v>
      </c>
      <c r="B70" s="303">
        <f ca="1">'Table 3-A| Emission Units'!$C128</f>
        <v>0</v>
      </c>
      <c r="C70" s="662">
        <f ca="1">IF(D70="MMcf",IFERROR('Table 3-A| Emission Units'!$E$66/1000000,0),IF(D70="Mgal",IFERROR('Table 3-A| Emission Units'!$E$66/1000,0),0))</f>
        <v>0</v>
      </c>
      <c r="D70" s="391" t="str">
        <f ca="1">IFERROR(VLOOKUP($B70,$AM$44:$AX$107,12,FALSE),"")</f>
        <v/>
      </c>
      <c r="E70" s="305">
        <f>IFERROR(IF(A70=0,0,C70*8760),"")</f>
        <v>0</v>
      </c>
      <c r="F70" s="305" t="s">
        <v>1859</v>
      </c>
      <c r="G70" s="392">
        <f ca="1">S70</f>
        <v>0</v>
      </c>
      <c r="H70" s="393">
        <f t="shared" ref="H70:H74" ca="1" si="132">T70</f>
        <v>0</v>
      </c>
      <c r="I70" s="393">
        <f t="shared" ref="I70:I74" ca="1" si="133">U70</f>
        <v>0</v>
      </c>
      <c r="J70" s="393">
        <f t="shared" ref="J70:J74" ca="1" si="134">V70</f>
        <v>0</v>
      </c>
      <c r="K70" s="393">
        <f t="shared" ref="K70:K74" ca="1" si="135">W70</f>
        <v>0</v>
      </c>
      <c r="L70" s="393">
        <f t="shared" ref="L70:L74" ca="1" si="136">X70</f>
        <v>0</v>
      </c>
      <c r="M70" s="393">
        <f t="shared" ref="M70:M74" ca="1" si="137">Y70</f>
        <v>0</v>
      </c>
      <c r="N70" s="393">
        <f t="shared" ref="N70:N74" ca="1" si="138">Z70</f>
        <v>0</v>
      </c>
      <c r="O70" s="394">
        <f t="shared" ref="O70:O74" ca="1" si="139">AA70</f>
        <v>0</v>
      </c>
      <c r="S70" s="589">
        <f t="shared" ref="S70:S74" ca="1" si="140">IFERROR($E70*AC70,0)</f>
        <v>0</v>
      </c>
      <c r="T70" s="590">
        <f t="shared" ref="T70:T74" ca="1" si="141">IFERROR($E70*AD70,0)</f>
        <v>0</v>
      </c>
      <c r="U70" s="590">
        <f t="shared" ref="U70:U74" ca="1" si="142">IFERROR($E70*AE70,0)</f>
        <v>0</v>
      </c>
      <c r="V70" s="585">
        <f t="shared" ref="V70:V74" ca="1" si="143">IFERROR($E70*AF70,0)</f>
        <v>0</v>
      </c>
      <c r="W70" s="585">
        <f t="shared" ref="W70:W74" ca="1" si="144">IFERROR($E70*AG70,0)</f>
        <v>0</v>
      </c>
      <c r="X70" s="585">
        <f t="shared" ref="X70:X74" ca="1" si="145">IFERROR($E70*AH70,0)</f>
        <v>0</v>
      </c>
      <c r="Y70" s="585">
        <f t="shared" ref="Y70:Y74" ca="1" si="146">IFERROR($E70*AI70,0)</f>
        <v>0</v>
      </c>
      <c r="Z70" s="585">
        <f t="shared" ref="Z70:Z74" ca="1" si="147">IFERROR($E70*AJ70,0)</f>
        <v>0</v>
      </c>
      <c r="AA70" s="588">
        <f t="shared" ref="AA70:AA74" ca="1" si="148">IFERROR($E70*AK70,0)</f>
        <v>0</v>
      </c>
      <c r="AC70" s="589">
        <f t="shared" ref="AC70:AC74" ca="1" si="149">IFERROR(VLOOKUP($B70,$AM$44:$AX$107,3,FALSE),0)</f>
        <v>0</v>
      </c>
      <c r="AD70" s="590">
        <f t="shared" ref="AD70:AD74" ca="1" si="150">IFERROR(VLOOKUP($B70,$AM$44:$AX$107,4,FALSE),0)</f>
        <v>0</v>
      </c>
      <c r="AE70" s="590">
        <f t="shared" ca="1" si="38"/>
        <v>0</v>
      </c>
      <c r="AF70" s="585">
        <f t="shared" ref="AF70:AF74" ca="1" si="151">IFERROR(VLOOKUP($B70,$AM$44:$AX$107,6,FALSE),0)</f>
        <v>0</v>
      </c>
      <c r="AG70" s="585">
        <f t="shared" ca="1" si="39"/>
        <v>0</v>
      </c>
      <c r="AH70" s="585">
        <f t="shared" ca="1" si="40"/>
        <v>0</v>
      </c>
      <c r="AI70" s="585">
        <f t="shared" ca="1" si="41"/>
        <v>0</v>
      </c>
      <c r="AJ70" s="585">
        <f t="shared" ca="1" si="42"/>
        <v>0</v>
      </c>
      <c r="AK70" s="588">
        <f t="shared" ca="1" si="43"/>
        <v>0</v>
      </c>
      <c r="AM70" s="66">
        <v>10300503</v>
      </c>
      <c r="AN70" s="68" t="s">
        <v>2307</v>
      </c>
      <c r="AO70" s="762">
        <v>1.7000000000000001E-2</v>
      </c>
      <c r="AP70" s="762">
        <v>1.0999999999999999E-2</v>
      </c>
      <c r="AQ70" s="762">
        <v>0.14399999999999999</v>
      </c>
      <c r="AR70" s="762">
        <v>5.1999999999999998E-2</v>
      </c>
      <c r="AS70" s="762">
        <v>1.81E-3</v>
      </c>
      <c r="AT70" s="762">
        <v>3.5999999999999997E-2</v>
      </c>
      <c r="AU70" s="762">
        <f>179.86+(0.000374*25)</f>
        <v>179.86935000000003</v>
      </c>
      <c r="AV70" s="629">
        <v>4.6581439884063981E-10</v>
      </c>
      <c r="AW70" s="629">
        <v>4.6299999999999998E-4</v>
      </c>
      <c r="AX70" s="756" t="s">
        <v>2284</v>
      </c>
      <c r="AZ70" s="68"/>
      <c r="BA70" s="66"/>
      <c r="BB70" s="68"/>
    </row>
    <row r="71" spans="1:54" ht="18" customHeight="1" x14ac:dyDescent="0.25">
      <c r="A71" s="302">
        <f>IF('Table 3-A| Emission Units'!$A129=0,0,'Table 3-A| Emission Units'!A129&amp;"-"&amp;'Table 3-A| Emission Units'!B129)</f>
        <v>0</v>
      </c>
      <c r="B71" s="303">
        <f ca="1">'Table 3-A| Emission Units'!$C129</f>
        <v>0</v>
      </c>
      <c r="C71" s="305">
        <f ca="1">IF(D71="MMcf",IFERROR('Table 3-A| Emission Units'!$E$70/1000000,0),IF(D71="Mgal",IFERROR('Table 3-A| Emission Units'!$E$70/1000,0),0))</f>
        <v>0</v>
      </c>
      <c r="D71" s="391" t="str">
        <f t="shared" ref="D71:D74" ca="1" si="152">IFERROR(VLOOKUP($B71,$AM$44:$AX$107,12,FALSE),"")</f>
        <v/>
      </c>
      <c r="E71" s="305">
        <f t="shared" ref="E71:E74" si="153">IFERROR(IF(A71=0,0,C71*8760),"")</f>
        <v>0</v>
      </c>
      <c r="F71" s="305" t="s">
        <v>1859</v>
      </c>
      <c r="G71" s="392">
        <f t="shared" ref="G71:G74" ca="1" si="154">S71</f>
        <v>0</v>
      </c>
      <c r="H71" s="393">
        <f t="shared" ca="1" si="132"/>
        <v>0</v>
      </c>
      <c r="I71" s="393">
        <f t="shared" ca="1" si="133"/>
        <v>0</v>
      </c>
      <c r="J71" s="393">
        <f t="shared" ca="1" si="134"/>
        <v>0</v>
      </c>
      <c r="K71" s="393">
        <f t="shared" ca="1" si="135"/>
        <v>0</v>
      </c>
      <c r="L71" s="393">
        <f t="shared" ca="1" si="136"/>
        <v>0</v>
      </c>
      <c r="M71" s="393">
        <f t="shared" ca="1" si="137"/>
        <v>0</v>
      </c>
      <c r="N71" s="393">
        <f t="shared" ca="1" si="138"/>
        <v>0</v>
      </c>
      <c r="O71" s="394">
        <f t="shared" ca="1" si="139"/>
        <v>0</v>
      </c>
      <c r="S71" s="589">
        <f t="shared" ca="1" si="140"/>
        <v>0</v>
      </c>
      <c r="T71" s="590">
        <f t="shared" ca="1" si="141"/>
        <v>0</v>
      </c>
      <c r="U71" s="590">
        <f t="shared" ca="1" si="142"/>
        <v>0</v>
      </c>
      <c r="V71" s="585">
        <f t="shared" ca="1" si="143"/>
        <v>0</v>
      </c>
      <c r="W71" s="585">
        <f t="shared" ca="1" si="144"/>
        <v>0</v>
      </c>
      <c r="X71" s="585">
        <f t="shared" ca="1" si="145"/>
        <v>0</v>
      </c>
      <c r="Y71" s="585">
        <f t="shared" ca="1" si="146"/>
        <v>0</v>
      </c>
      <c r="Z71" s="585">
        <f t="shared" ca="1" si="147"/>
        <v>0</v>
      </c>
      <c r="AA71" s="588">
        <f t="shared" ca="1" si="148"/>
        <v>0</v>
      </c>
      <c r="AC71" s="589">
        <f t="shared" ca="1" si="149"/>
        <v>0</v>
      </c>
      <c r="AD71" s="590">
        <f t="shared" ca="1" si="150"/>
        <v>0</v>
      </c>
      <c r="AE71" s="590">
        <f t="shared" ca="1" si="38"/>
        <v>0</v>
      </c>
      <c r="AF71" s="585">
        <f t="shared" ca="1" si="151"/>
        <v>0</v>
      </c>
      <c r="AG71" s="585">
        <f t="shared" ca="1" si="39"/>
        <v>0</v>
      </c>
      <c r="AH71" s="585">
        <f t="shared" ca="1" si="40"/>
        <v>0</v>
      </c>
      <c r="AI71" s="585">
        <f t="shared" ca="1" si="41"/>
        <v>0</v>
      </c>
      <c r="AJ71" s="585">
        <f t="shared" ca="1" si="42"/>
        <v>0</v>
      </c>
      <c r="AK71" s="588">
        <f t="shared" ca="1" si="43"/>
        <v>0</v>
      </c>
      <c r="AM71" s="66">
        <v>10300504</v>
      </c>
      <c r="AN71" s="68" t="s">
        <v>2321</v>
      </c>
      <c r="AO71" s="762">
        <v>5.1999999999999998E-2</v>
      </c>
      <c r="AP71" s="762">
        <v>3.6999999999999998E-2</v>
      </c>
      <c r="AQ71" s="762">
        <v>0.32400000000000001</v>
      </c>
      <c r="AR71" s="762">
        <v>5.3999999999999999E-2</v>
      </c>
      <c r="AS71" s="762">
        <v>1.74E-3</v>
      </c>
      <c r="AT71" s="762">
        <v>3.4000000000000002E-2</v>
      </c>
      <c r="AU71" s="762">
        <f>172.414+(0.000359*25)</f>
        <v>172.42297499999998</v>
      </c>
      <c r="AV71" s="629">
        <v>4.4653932026792366E-10</v>
      </c>
      <c r="AW71" s="629">
        <v>4.2099999999999999E-4</v>
      </c>
      <c r="AX71" s="756" t="s">
        <v>2284</v>
      </c>
      <c r="AZ71" s="68"/>
      <c r="BA71" s="66"/>
      <c r="BB71" s="68"/>
    </row>
    <row r="72" spans="1:54" ht="18" customHeight="1" x14ac:dyDescent="0.25">
      <c r="A72" s="302">
        <f>IF('Table 3-A| Emission Units'!$A130=0,0,'Table 3-A| Emission Units'!A130&amp;"-"&amp;'Table 3-A| Emission Units'!B130)</f>
        <v>0</v>
      </c>
      <c r="B72" s="303">
        <f ca="1">'Table 3-A| Emission Units'!$C130</f>
        <v>0</v>
      </c>
      <c r="C72" s="305">
        <f ca="1">IF(D72="MMcf",IFERROR('Table 3-A| Emission Units'!$E$74/1000000,0),IF(D72="Mgal",IFERROR('Table 3-A| Emission Units'!$E$74/1000,0),0))</f>
        <v>0</v>
      </c>
      <c r="D72" s="391" t="str">
        <f t="shared" ca="1" si="152"/>
        <v/>
      </c>
      <c r="E72" s="305">
        <f t="shared" si="153"/>
        <v>0</v>
      </c>
      <c r="F72" s="305" t="s">
        <v>1859</v>
      </c>
      <c r="G72" s="392">
        <f t="shared" ca="1" si="154"/>
        <v>0</v>
      </c>
      <c r="H72" s="393">
        <f t="shared" ca="1" si="132"/>
        <v>0</v>
      </c>
      <c r="I72" s="393">
        <f t="shared" ca="1" si="133"/>
        <v>0</v>
      </c>
      <c r="J72" s="393">
        <f t="shared" ca="1" si="134"/>
        <v>0</v>
      </c>
      <c r="K72" s="393">
        <f t="shared" ca="1" si="135"/>
        <v>0</v>
      </c>
      <c r="L72" s="393">
        <f t="shared" ca="1" si="136"/>
        <v>0</v>
      </c>
      <c r="M72" s="393">
        <f t="shared" ca="1" si="137"/>
        <v>0</v>
      </c>
      <c r="N72" s="393">
        <f t="shared" ca="1" si="138"/>
        <v>0</v>
      </c>
      <c r="O72" s="394">
        <f t="shared" ca="1" si="139"/>
        <v>0</v>
      </c>
      <c r="S72" s="589">
        <f t="shared" ca="1" si="140"/>
        <v>0</v>
      </c>
      <c r="T72" s="590">
        <f t="shared" ca="1" si="141"/>
        <v>0</v>
      </c>
      <c r="U72" s="590">
        <f t="shared" ca="1" si="142"/>
        <v>0</v>
      </c>
      <c r="V72" s="585">
        <f t="shared" ca="1" si="143"/>
        <v>0</v>
      </c>
      <c r="W72" s="585">
        <f t="shared" ca="1" si="144"/>
        <v>0</v>
      </c>
      <c r="X72" s="585">
        <f t="shared" ca="1" si="145"/>
        <v>0</v>
      </c>
      <c r="Y72" s="585">
        <f t="shared" ca="1" si="146"/>
        <v>0</v>
      </c>
      <c r="Z72" s="585">
        <f t="shared" ca="1" si="147"/>
        <v>0</v>
      </c>
      <c r="AA72" s="588">
        <f t="shared" ca="1" si="148"/>
        <v>0</v>
      </c>
      <c r="AC72" s="589">
        <f t="shared" ca="1" si="149"/>
        <v>0</v>
      </c>
      <c r="AD72" s="590">
        <f t="shared" ca="1" si="150"/>
        <v>0</v>
      </c>
      <c r="AE72" s="590">
        <f t="shared" ca="1" si="38"/>
        <v>0</v>
      </c>
      <c r="AF72" s="585">
        <f t="shared" ca="1" si="151"/>
        <v>0</v>
      </c>
      <c r="AG72" s="585">
        <f t="shared" ca="1" si="39"/>
        <v>0</v>
      </c>
      <c r="AH72" s="585">
        <f t="shared" ca="1" si="40"/>
        <v>0</v>
      </c>
      <c r="AI72" s="585">
        <f t="shared" ca="1" si="41"/>
        <v>0</v>
      </c>
      <c r="AJ72" s="585">
        <f t="shared" ca="1" si="42"/>
        <v>0</v>
      </c>
      <c r="AK72" s="588">
        <f t="shared" ca="1" si="43"/>
        <v>0</v>
      </c>
      <c r="AM72" s="66">
        <v>10300505</v>
      </c>
      <c r="AN72" s="68" t="s">
        <v>2310</v>
      </c>
      <c r="AO72" s="762">
        <v>1.7000000000000001E-2</v>
      </c>
      <c r="AP72" s="762">
        <v>1.0999999999999999E-2</v>
      </c>
      <c r="AQ72" s="762">
        <v>0.14399999999999999</v>
      </c>
      <c r="AR72" s="762">
        <v>5.1999999999999998E-2</v>
      </c>
      <c r="AS72" s="762">
        <v>1.4400000000000001E-3</v>
      </c>
      <c r="AT72" s="762">
        <v>3.5999999999999997E-2</v>
      </c>
      <c r="AU72" s="762">
        <f>179.86+(0.000374*25)</f>
        <v>179.86935000000003</v>
      </c>
      <c r="AV72" s="629">
        <v>4.6581439884063981E-10</v>
      </c>
      <c r="AW72" s="629">
        <v>4.3899999999999999E-4</v>
      </c>
      <c r="AX72" s="756" t="s">
        <v>2284</v>
      </c>
      <c r="AZ72" s="68"/>
      <c r="BA72" s="66"/>
      <c r="BB72" s="68"/>
    </row>
    <row r="73" spans="1:54" ht="18" customHeight="1" x14ac:dyDescent="0.25">
      <c r="A73" s="302">
        <f>IF('Table 3-A| Emission Units'!$A131=0,0,'Table 3-A| Emission Units'!A131&amp;"-"&amp;'Table 3-A| Emission Units'!B131)</f>
        <v>0</v>
      </c>
      <c r="B73" s="303">
        <f ca="1">'Table 3-A| Emission Units'!$C131</f>
        <v>0</v>
      </c>
      <c r="C73" s="662">
        <f ca="1">IF(D73="MMcf",IFERROR('Table 3-A| Emission Units'!$E$78/1000000,0),IF(D73="Mgal",IFERROR('Table 3-A| Emission Units'!$E$78/1000,0),0))</f>
        <v>0</v>
      </c>
      <c r="D73" s="391" t="str">
        <f t="shared" ca="1" si="152"/>
        <v/>
      </c>
      <c r="E73" s="305">
        <f t="shared" si="153"/>
        <v>0</v>
      </c>
      <c r="F73" s="305" t="s">
        <v>1859</v>
      </c>
      <c r="G73" s="392">
        <f t="shared" ca="1" si="154"/>
        <v>0</v>
      </c>
      <c r="H73" s="393">
        <f t="shared" ca="1" si="132"/>
        <v>0</v>
      </c>
      <c r="I73" s="393">
        <f t="shared" ca="1" si="133"/>
        <v>0</v>
      </c>
      <c r="J73" s="393">
        <f t="shared" ca="1" si="134"/>
        <v>0</v>
      </c>
      <c r="K73" s="393">
        <f t="shared" ca="1" si="135"/>
        <v>0</v>
      </c>
      <c r="L73" s="393">
        <f t="shared" ca="1" si="136"/>
        <v>0</v>
      </c>
      <c r="M73" s="393">
        <f t="shared" ca="1" si="137"/>
        <v>0</v>
      </c>
      <c r="N73" s="393">
        <f t="shared" ca="1" si="138"/>
        <v>0</v>
      </c>
      <c r="O73" s="394">
        <f t="shared" ca="1" si="139"/>
        <v>0</v>
      </c>
      <c r="P73" s="679"/>
      <c r="Q73" s="680"/>
      <c r="R73" s="671"/>
      <c r="S73" s="589">
        <f t="shared" ca="1" si="140"/>
        <v>0</v>
      </c>
      <c r="T73" s="590">
        <f t="shared" ca="1" si="141"/>
        <v>0</v>
      </c>
      <c r="U73" s="590">
        <f t="shared" ca="1" si="142"/>
        <v>0</v>
      </c>
      <c r="V73" s="585">
        <f t="shared" ca="1" si="143"/>
        <v>0</v>
      </c>
      <c r="W73" s="585">
        <f t="shared" ca="1" si="144"/>
        <v>0</v>
      </c>
      <c r="X73" s="585">
        <f t="shared" ca="1" si="145"/>
        <v>0</v>
      </c>
      <c r="Y73" s="585">
        <f t="shared" ca="1" si="146"/>
        <v>0</v>
      </c>
      <c r="Z73" s="585">
        <f t="shared" ca="1" si="147"/>
        <v>0</v>
      </c>
      <c r="AA73" s="588">
        <f t="shared" ca="1" si="148"/>
        <v>0</v>
      </c>
      <c r="AC73" s="589">
        <f t="shared" ca="1" si="149"/>
        <v>0</v>
      </c>
      <c r="AD73" s="590">
        <f t="shared" ca="1" si="150"/>
        <v>0</v>
      </c>
      <c r="AE73" s="590">
        <f t="shared" ca="1" si="38"/>
        <v>0</v>
      </c>
      <c r="AF73" s="585">
        <f t="shared" ca="1" si="151"/>
        <v>0</v>
      </c>
      <c r="AG73" s="585">
        <f t="shared" ca="1" si="39"/>
        <v>0</v>
      </c>
      <c r="AH73" s="585">
        <f t="shared" ca="1" si="40"/>
        <v>0</v>
      </c>
      <c r="AI73" s="585">
        <f t="shared" ca="1" si="41"/>
        <v>0</v>
      </c>
      <c r="AJ73" s="585">
        <f t="shared" ca="1" si="42"/>
        <v>0</v>
      </c>
      <c r="AK73" s="588">
        <f t="shared" ca="1" si="43"/>
        <v>0</v>
      </c>
      <c r="AM73" s="66">
        <v>10300601</v>
      </c>
      <c r="AN73" s="68" t="s">
        <v>2293</v>
      </c>
      <c r="AO73" s="762">
        <v>7.45E-3</v>
      </c>
      <c r="AP73" s="762">
        <v>7.45E-3</v>
      </c>
      <c r="AQ73" s="762">
        <v>0.13700000000000001</v>
      </c>
      <c r="AR73" s="762">
        <v>5.8799999999999998E-4</v>
      </c>
      <c r="AS73" s="762">
        <v>5.3899999999999998E-3</v>
      </c>
      <c r="AT73" s="762">
        <v>8.2000000000000003E-2</v>
      </c>
      <c r="AU73" s="762">
        <f>117.647+(0.00225*25)+(0.00216*298)</f>
        <v>118.34693000000001</v>
      </c>
      <c r="AV73" s="629">
        <v>4.9019607843137254E-7</v>
      </c>
      <c r="AW73" s="629">
        <v>1.8500000000000001E-3</v>
      </c>
      <c r="AX73" s="756" t="s">
        <v>2284</v>
      </c>
      <c r="AZ73" s="68"/>
      <c r="BA73" s="66"/>
      <c r="BB73" s="68"/>
    </row>
    <row r="74" spans="1:54" ht="18" customHeight="1" thickBot="1" x14ac:dyDescent="0.3">
      <c r="A74" s="302">
        <f>IF('Table 3-A| Emission Units'!$A132=0,0,'Table 3-A| Emission Units'!A132&amp;"-"&amp;'Table 3-A| Emission Units'!B132)</f>
        <v>0</v>
      </c>
      <c r="B74" s="303">
        <f ca="1">'Table 3-A| Emission Units'!$C132</f>
        <v>0</v>
      </c>
      <c r="C74" s="305">
        <f ca="1">IF(D74="MMcf",IFERROR('Table 3-A| Emission Units'!$E$82/1000000,0),IF(D74="Mgal",IFERROR('Table 3-A| Emission Units'!$E$82/1000,0),0))</f>
        <v>0</v>
      </c>
      <c r="D74" s="391" t="str">
        <f t="shared" ca="1" si="152"/>
        <v/>
      </c>
      <c r="E74" s="305">
        <f t="shared" si="153"/>
        <v>0</v>
      </c>
      <c r="F74" s="305" t="s">
        <v>1859</v>
      </c>
      <c r="G74" s="392">
        <f t="shared" ca="1" si="154"/>
        <v>0</v>
      </c>
      <c r="H74" s="393">
        <f t="shared" ca="1" si="132"/>
        <v>0</v>
      </c>
      <c r="I74" s="393">
        <f t="shared" ca="1" si="133"/>
        <v>0</v>
      </c>
      <c r="J74" s="393">
        <f t="shared" ca="1" si="134"/>
        <v>0</v>
      </c>
      <c r="K74" s="393">
        <f t="shared" ca="1" si="135"/>
        <v>0</v>
      </c>
      <c r="L74" s="393">
        <f t="shared" ca="1" si="136"/>
        <v>0</v>
      </c>
      <c r="M74" s="393">
        <f t="shared" ca="1" si="137"/>
        <v>0</v>
      </c>
      <c r="N74" s="393">
        <f t="shared" ca="1" si="138"/>
        <v>0</v>
      </c>
      <c r="O74" s="394">
        <f t="shared" ca="1" si="139"/>
        <v>0</v>
      </c>
      <c r="P74" s="679"/>
      <c r="Q74" s="680"/>
      <c r="R74" s="672"/>
      <c r="S74" s="589">
        <f t="shared" ca="1" si="140"/>
        <v>0</v>
      </c>
      <c r="T74" s="590">
        <f t="shared" ca="1" si="141"/>
        <v>0</v>
      </c>
      <c r="U74" s="590">
        <f t="shared" ca="1" si="142"/>
        <v>0</v>
      </c>
      <c r="V74" s="585">
        <f t="shared" ca="1" si="143"/>
        <v>0</v>
      </c>
      <c r="W74" s="585">
        <f t="shared" ca="1" si="144"/>
        <v>0</v>
      </c>
      <c r="X74" s="585">
        <f t="shared" ca="1" si="145"/>
        <v>0</v>
      </c>
      <c r="Y74" s="585">
        <f t="shared" ca="1" si="146"/>
        <v>0</v>
      </c>
      <c r="Z74" s="585">
        <f t="shared" ca="1" si="147"/>
        <v>0</v>
      </c>
      <c r="AA74" s="588">
        <f t="shared" ca="1" si="148"/>
        <v>0</v>
      </c>
      <c r="AC74" s="589">
        <f t="shared" ca="1" si="149"/>
        <v>0</v>
      </c>
      <c r="AD74" s="590">
        <f t="shared" ca="1" si="150"/>
        <v>0</v>
      </c>
      <c r="AE74" s="590">
        <f t="shared" ca="1" si="38"/>
        <v>0</v>
      </c>
      <c r="AF74" s="585">
        <f t="shared" ca="1" si="151"/>
        <v>0</v>
      </c>
      <c r="AG74" s="585">
        <f t="shared" ca="1" si="39"/>
        <v>0</v>
      </c>
      <c r="AH74" s="585">
        <f t="shared" ca="1" si="40"/>
        <v>0</v>
      </c>
      <c r="AI74" s="585">
        <f t="shared" ca="1" si="41"/>
        <v>0</v>
      </c>
      <c r="AJ74" s="585">
        <f t="shared" ca="1" si="42"/>
        <v>0</v>
      </c>
      <c r="AK74" s="588">
        <f t="shared" ca="1" si="43"/>
        <v>0</v>
      </c>
      <c r="AM74" s="66">
        <v>10300602</v>
      </c>
      <c r="AN74" s="68" t="s">
        <v>2294</v>
      </c>
      <c r="AO74" s="762">
        <v>7.45E-3</v>
      </c>
      <c r="AP74" s="762">
        <v>7.45E-3</v>
      </c>
      <c r="AQ74" s="762">
        <v>9.8000000000000004E-2</v>
      </c>
      <c r="AR74" s="762">
        <v>5.8799999999999998E-4</v>
      </c>
      <c r="AS74" s="762">
        <v>5.3899999999999998E-3</v>
      </c>
      <c r="AT74" s="762">
        <v>8.2000000000000003E-2</v>
      </c>
      <c r="AU74" s="762">
        <f>117.647+(0.00225*25)+(0.00216*298)</f>
        <v>118.34693000000001</v>
      </c>
      <c r="AV74" s="629">
        <v>4.9019607843137254E-7</v>
      </c>
      <c r="AW74" s="629">
        <v>1.8500000000000001E-3</v>
      </c>
      <c r="AX74" s="756" t="s">
        <v>2284</v>
      </c>
      <c r="AZ74" s="68"/>
      <c r="BA74" s="66"/>
      <c r="BB74" s="68"/>
    </row>
    <row r="75" spans="1:54" ht="18" customHeight="1" thickBot="1" x14ac:dyDescent="0.3">
      <c r="A75" s="1335" t="str">
        <f>IF('Table 3-A| Emission Units'!$A133=0,"",'Table 3-A| Emission Units'!A133)</f>
        <v>Miscellaneous Emission Units</v>
      </c>
      <c r="B75" s="1336" t="str">
        <f>IF('Table 3-A| Emission Units'!$A133=0,"",'Table 3-A| Emission Units'!B133&amp;"-"&amp;'Table 3-A| Emission Units'!C133)</f>
        <v>-</v>
      </c>
      <c r="C75" s="1336" t="str">
        <f>IF('Table 3-A| Emission Units'!$A133=0,"",'Table 3-A| Emission Units'!C133&amp;"-"&amp;'Table 3-A| Emission Units'!D133)</f>
        <v>-</v>
      </c>
      <c r="D75" s="1336" t="str">
        <f>IF('Table 3-A| Emission Units'!$A133=0,"",'Table 3-A| Emission Units'!D133&amp;"-"&amp;'Table 3-A| Emission Units'!E133)</f>
        <v>-</v>
      </c>
      <c r="E75" s="1336" t="str">
        <f>IF('Table 3-A| Emission Units'!$A133=0,"",'Table 3-A| Emission Units'!E133&amp;"-"&amp;'Table 3-A| Emission Units'!F133)</f>
        <v>-</v>
      </c>
      <c r="F75" s="1336" t="str">
        <f>IF('Table 3-A| Emission Units'!$A133=0,"",'Table 3-A| Emission Units'!F133&amp;"-"&amp;'Table 3-A| Emission Units'!G133)</f>
        <v>-</v>
      </c>
      <c r="G75" s="1336" t="str">
        <f>IF('Table 3-A| Emission Units'!$A133=0,"",'Table 3-A| Emission Units'!G133&amp;"-"&amp;'Table 3-A| Emission Units'!H133)</f>
        <v>-</v>
      </c>
      <c r="H75" s="1336" t="str">
        <f>IF('Table 3-A| Emission Units'!$A133=0,"",'Table 3-A| Emission Units'!H133&amp;"-"&amp;'Table 3-A| Emission Units'!I133)</f>
        <v>-</v>
      </c>
      <c r="I75" s="1336" t="str">
        <f>IF('Table 3-A| Emission Units'!$A133=0,"",'Table 3-A| Emission Units'!I133&amp;"-"&amp;'Table 3-A| Emission Units'!J133)</f>
        <v>-</v>
      </c>
      <c r="J75" s="1336" t="str">
        <f>IF('Table 3-A| Emission Units'!$A133=0,"",'Table 3-A| Emission Units'!J133&amp;"-"&amp;'Table 3-A| Emission Units'!K133)</f>
        <v>-</v>
      </c>
      <c r="K75" s="1336" t="str">
        <f>IF('Table 3-A| Emission Units'!$A133=0,"",'Table 3-A| Emission Units'!K133&amp;"-"&amp;'Table 3-A| Emission Units'!L133)</f>
        <v>-</v>
      </c>
      <c r="L75" s="1336" t="str">
        <f>IF('Table 3-A| Emission Units'!$A133=0,"",'Table 3-A| Emission Units'!L133&amp;"-"&amp;'Table 3-A| Emission Units'!M133)</f>
        <v>-</v>
      </c>
      <c r="M75" s="1336" t="str">
        <f>IF('Table 3-A| Emission Units'!$A133=0,"",'Table 3-A| Emission Units'!M133&amp;"-"&amp;'Table 3-A| Emission Units'!N133)</f>
        <v>-</v>
      </c>
      <c r="N75" s="1336" t="str">
        <f>IF('Table 3-A| Emission Units'!$A133=0,"",'Table 3-A| Emission Units'!N133&amp;"-"&amp;'Table 3-A| Emission Units'!O133)</f>
        <v>-</v>
      </c>
      <c r="O75" s="1337" t="str">
        <f>IF('Table 3-A| Emission Units'!$A133=0,"",'Table 3-A| Emission Units'!O133&amp;"-"&amp;'Table 3-A| Emission Units'!P133)</f>
        <v>-</v>
      </c>
      <c r="P75" s="1364" t="s">
        <v>2135</v>
      </c>
      <c r="Q75" s="1365"/>
      <c r="R75" s="1366"/>
      <c r="S75" s="583" t="s">
        <v>26</v>
      </c>
      <c r="T75" s="110" t="s">
        <v>30</v>
      </c>
      <c r="U75" s="110" t="s">
        <v>3</v>
      </c>
      <c r="V75" s="110" t="s">
        <v>4</v>
      </c>
      <c r="W75" s="110" t="s">
        <v>0</v>
      </c>
      <c r="X75" s="110" t="s">
        <v>5</v>
      </c>
      <c r="Y75" s="98" t="s">
        <v>260</v>
      </c>
      <c r="Z75" s="110" t="s">
        <v>24</v>
      </c>
      <c r="AA75" s="111" t="s">
        <v>25</v>
      </c>
      <c r="AC75" s="1338"/>
      <c r="AD75" s="1339"/>
      <c r="AE75" s="1339"/>
      <c r="AF75" s="1339"/>
      <c r="AG75" s="1339"/>
      <c r="AH75" s="1339"/>
      <c r="AI75" s="1339"/>
      <c r="AJ75" s="1339"/>
      <c r="AK75" s="1340"/>
      <c r="AM75" s="66">
        <v>10300603</v>
      </c>
      <c r="AN75" s="68" t="s">
        <v>2295</v>
      </c>
      <c r="AO75" s="762">
        <v>7.45E-3</v>
      </c>
      <c r="AP75" s="762">
        <v>7.45E-3</v>
      </c>
      <c r="AQ75" s="762">
        <v>9.8000000000000004E-2</v>
      </c>
      <c r="AR75" s="762">
        <v>5.8799999999999998E-4</v>
      </c>
      <c r="AS75" s="762">
        <v>5.3899999999999998E-3</v>
      </c>
      <c r="AT75" s="762">
        <v>8.2000000000000003E-2</v>
      </c>
      <c r="AU75" s="762">
        <f>117.647+(0.00225*25)+(0.00216*298)</f>
        <v>118.34693000000001</v>
      </c>
      <c r="AV75" s="629">
        <v>4.9019607843137254E-7</v>
      </c>
      <c r="AW75" s="629">
        <v>1.8500000000000001E-3</v>
      </c>
      <c r="AX75" s="756" t="s">
        <v>2284</v>
      </c>
      <c r="AZ75" s="68"/>
      <c r="BA75" s="66"/>
      <c r="BB75" s="68"/>
    </row>
    <row r="76" spans="1:54" ht="18" customHeight="1" x14ac:dyDescent="0.25">
      <c r="A76" s="302">
        <f>IF('Table 3-A| Emission Units'!$A134=0,0,'Table 3-A| Emission Units'!A134&amp;"-"&amp;'Table 3-A| Emission Units'!B134)</f>
        <v>0</v>
      </c>
      <c r="B76" s="303">
        <f>'Table 3-A| Emission Units'!$C134</f>
        <v>0</v>
      </c>
      <c r="C76" s="304"/>
      <c r="D76" s="242"/>
      <c r="E76" s="305">
        <f t="shared" ref="E76:E84" si="155">IF(OR(ISBLANK(C76),ISTEXT(C76)),0,C76*8760)</f>
        <v>0</v>
      </c>
      <c r="F76" s="304"/>
      <c r="G76" s="306"/>
      <c r="H76" s="307"/>
      <c r="I76" s="307"/>
      <c r="J76" s="307"/>
      <c r="K76" s="307"/>
      <c r="L76" s="307"/>
      <c r="M76" s="307"/>
      <c r="N76" s="307"/>
      <c r="O76" s="308"/>
      <c r="P76" s="1367"/>
      <c r="Q76" s="1368"/>
      <c r="R76" s="1369"/>
      <c r="S76" s="836"/>
      <c r="T76" s="837"/>
      <c r="U76" s="837"/>
      <c r="V76" s="640"/>
      <c r="W76" s="640"/>
      <c r="X76" s="640"/>
      <c r="Y76" s="640"/>
      <c r="Z76" s="640"/>
      <c r="AA76" s="641"/>
      <c r="AC76" s="836"/>
      <c r="AD76" s="837"/>
      <c r="AE76" s="837"/>
      <c r="AF76" s="640"/>
      <c r="AG76" s="640"/>
      <c r="AH76" s="640"/>
      <c r="AI76" s="640"/>
      <c r="AJ76" s="640"/>
      <c r="AK76" s="641"/>
      <c r="AM76" s="66">
        <v>10300604</v>
      </c>
      <c r="AN76" s="68" t="s">
        <v>2311</v>
      </c>
      <c r="AO76" s="762">
        <v>7.45E-3</v>
      </c>
      <c r="AP76" s="762">
        <v>7.45E-3</v>
      </c>
      <c r="AQ76" s="762">
        <v>0.16700000000000001</v>
      </c>
      <c r="AR76" s="762">
        <v>5.8799999999999998E-4</v>
      </c>
      <c r="AS76" s="762">
        <v>5.3899999999999998E-3</v>
      </c>
      <c r="AT76" s="762">
        <v>2.4E-2</v>
      </c>
      <c r="AU76" s="762">
        <f>117.647+(0.00225*25)+(0.00216*298)</f>
        <v>118.34693000000001</v>
      </c>
      <c r="AV76" s="629">
        <v>4.9019607843137254E-7</v>
      </c>
      <c r="AW76" s="629">
        <v>1.8500000000000001E-3</v>
      </c>
      <c r="AX76" s="756" t="s">
        <v>2284</v>
      </c>
      <c r="AZ76" s="68"/>
      <c r="BA76" s="66"/>
      <c r="BB76" s="68"/>
    </row>
    <row r="77" spans="1:54" ht="18" customHeight="1" x14ac:dyDescent="0.25">
      <c r="A77" s="302">
        <f>IF('Table 3-A| Emission Units'!$A135=0,0,'Table 3-A| Emission Units'!A135&amp;"-"&amp;'Table 3-A| Emission Units'!B135)</f>
        <v>0</v>
      </c>
      <c r="B77" s="303">
        <f>'Table 3-A| Emission Units'!$C135</f>
        <v>0</v>
      </c>
      <c r="C77" s="304"/>
      <c r="D77" s="242"/>
      <c r="E77" s="305">
        <f t="shared" si="155"/>
        <v>0</v>
      </c>
      <c r="F77" s="304"/>
      <c r="G77" s="306"/>
      <c r="H77" s="307"/>
      <c r="I77" s="307"/>
      <c r="J77" s="307"/>
      <c r="K77" s="307"/>
      <c r="L77" s="307"/>
      <c r="M77" s="307"/>
      <c r="N77" s="307"/>
      <c r="O77" s="308"/>
      <c r="P77" s="1367"/>
      <c r="Q77" s="1368"/>
      <c r="R77" s="1369"/>
      <c r="S77" s="836"/>
      <c r="T77" s="837"/>
      <c r="U77" s="837"/>
      <c r="V77" s="640"/>
      <c r="W77" s="640"/>
      <c r="X77" s="640"/>
      <c r="Y77" s="640"/>
      <c r="Z77" s="640"/>
      <c r="AA77" s="641"/>
      <c r="AC77" s="836"/>
      <c r="AD77" s="837"/>
      <c r="AE77" s="837"/>
      <c r="AF77" s="640"/>
      <c r="AG77" s="640"/>
      <c r="AH77" s="640"/>
      <c r="AI77" s="640"/>
      <c r="AJ77" s="640"/>
      <c r="AK77" s="641"/>
      <c r="AM77" s="66">
        <v>10301002</v>
      </c>
      <c r="AN77" s="68" t="s">
        <v>2320</v>
      </c>
      <c r="AO77" s="762">
        <v>1.2E-2</v>
      </c>
      <c r="AP77" s="762">
        <v>1.2E-2</v>
      </c>
      <c r="AQ77" s="762">
        <v>0.20799999999999999</v>
      </c>
      <c r="AR77" s="762">
        <v>5.9100000000000005E-4</v>
      </c>
      <c r="AS77" s="762">
        <v>5.47E-3</v>
      </c>
      <c r="AT77" s="762">
        <v>3.5000000000000003E-2</v>
      </c>
      <c r="AU77" s="762">
        <v>136.92475000000002</v>
      </c>
      <c r="AV77" s="629">
        <v>0</v>
      </c>
      <c r="AW77" s="629">
        <v>0</v>
      </c>
      <c r="AX77" s="756" t="s">
        <v>2284</v>
      </c>
      <c r="AZ77" s="68"/>
      <c r="BA77" s="66"/>
      <c r="BB77" s="68"/>
    </row>
    <row r="78" spans="1:54" ht="18" customHeight="1" x14ac:dyDescent="0.25">
      <c r="A78" s="302">
        <f>IF('Table 3-A| Emission Units'!$A136=0,0,'Table 3-A| Emission Units'!A136&amp;"-"&amp;'Table 3-A| Emission Units'!B136)</f>
        <v>0</v>
      </c>
      <c r="B78" s="303">
        <f>'Table 3-A| Emission Units'!$C136</f>
        <v>0</v>
      </c>
      <c r="C78" s="304"/>
      <c r="D78" s="242"/>
      <c r="E78" s="305">
        <f t="shared" si="155"/>
        <v>0</v>
      </c>
      <c r="F78" s="304"/>
      <c r="G78" s="306"/>
      <c r="H78" s="307"/>
      <c r="I78" s="307"/>
      <c r="J78" s="307"/>
      <c r="K78" s="307"/>
      <c r="L78" s="307"/>
      <c r="M78" s="307"/>
      <c r="N78" s="307"/>
      <c r="O78" s="308"/>
      <c r="P78" s="1367"/>
      <c r="Q78" s="1368"/>
      <c r="R78" s="1369"/>
      <c r="S78" s="836"/>
      <c r="T78" s="837"/>
      <c r="U78" s="837"/>
      <c r="V78" s="640"/>
      <c r="W78" s="640"/>
      <c r="X78" s="640"/>
      <c r="Y78" s="640"/>
      <c r="Z78" s="640"/>
      <c r="AA78" s="641"/>
      <c r="AC78" s="836"/>
      <c r="AD78" s="837"/>
      <c r="AE78" s="837"/>
      <c r="AF78" s="640"/>
      <c r="AG78" s="640"/>
      <c r="AH78" s="640"/>
      <c r="AI78" s="640"/>
      <c r="AJ78" s="640"/>
      <c r="AK78" s="641"/>
      <c r="AM78" s="66">
        <v>20200101</v>
      </c>
      <c r="AN78" s="68" t="s">
        <v>2291</v>
      </c>
      <c r="AO78" s="762">
        <v>1.0999999999999999E-2</v>
      </c>
      <c r="AP78" s="762">
        <v>1.0999999999999999E-2</v>
      </c>
      <c r="AQ78" s="762">
        <v>0.88</v>
      </c>
      <c r="AR78" s="762">
        <v>5.0999999999999997E-2</v>
      </c>
      <c r="AS78" s="762">
        <v>4.0999999999999999E-4</v>
      </c>
      <c r="AT78" s="762">
        <v>3.3E-3</v>
      </c>
      <c r="AU78" s="762">
        <v>157</v>
      </c>
      <c r="AV78" s="629">
        <v>1.4E-5</v>
      </c>
      <c r="AW78" s="629">
        <v>1.2899999999999999E-3</v>
      </c>
      <c r="AX78" s="756" t="s">
        <v>2284</v>
      </c>
      <c r="AZ78" s="68"/>
      <c r="BA78" s="66"/>
      <c r="BB78" s="68"/>
    </row>
    <row r="79" spans="1:54" ht="18" customHeight="1" x14ac:dyDescent="0.25">
      <c r="A79" s="302">
        <f>IF('Table 3-A| Emission Units'!$A137=0,0,'Table 3-A| Emission Units'!A137&amp;"-"&amp;'Table 3-A| Emission Units'!B137)</f>
        <v>0</v>
      </c>
      <c r="B79" s="303">
        <f>'Table 3-A| Emission Units'!$C137</f>
        <v>0</v>
      </c>
      <c r="C79" s="304"/>
      <c r="D79" s="242"/>
      <c r="E79" s="305">
        <f t="shared" si="155"/>
        <v>0</v>
      </c>
      <c r="F79" s="304"/>
      <c r="G79" s="306"/>
      <c r="H79" s="307"/>
      <c r="I79" s="307"/>
      <c r="J79" s="307"/>
      <c r="K79" s="307"/>
      <c r="L79" s="307"/>
      <c r="M79" s="307"/>
      <c r="N79" s="307"/>
      <c r="O79" s="308"/>
      <c r="P79" s="1367"/>
      <c r="Q79" s="1368"/>
      <c r="R79" s="1369"/>
      <c r="S79" s="836"/>
      <c r="T79" s="837"/>
      <c r="U79" s="837"/>
      <c r="V79" s="640"/>
      <c r="W79" s="640"/>
      <c r="X79" s="640"/>
      <c r="Y79" s="640"/>
      <c r="Z79" s="640"/>
      <c r="AA79" s="641"/>
      <c r="AC79" s="836"/>
      <c r="AD79" s="837"/>
      <c r="AE79" s="837"/>
      <c r="AF79" s="640"/>
      <c r="AG79" s="640"/>
      <c r="AH79" s="640"/>
      <c r="AI79" s="640"/>
      <c r="AJ79" s="640"/>
      <c r="AK79" s="641"/>
      <c r="AM79" s="66">
        <v>20200102</v>
      </c>
      <c r="AN79" s="68" t="s">
        <v>2130</v>
      </c>
      <c r="AO79" s="762">
        <v>42.5</v>
      </c>
      <c r="AP79" s="762">
        <v>42.5</v>
      </c>
      <c r="AQ79" s="762">
        <v>604</v>
      </c>
      <c r="AR79" s="762">
        <v>39.700000000000003</v>
      </c>
      <c r="AS79" s="762">
        <v>49.3</v>
      </c>
      <c r="AT79" s="762">
        <v>130</v>
      </c>
      <c r="AU79" s="762">
        <v>22600</v>
      </c>
      <c r="AV79" s="629">
        <v>0</v>
      </c>
      <c r="AW79" s="629">
        <v>5.2386381949999993E-4</v>
      </c>
      <c r="AX79" s="756" t="s">
        <v>1506</v>
      </c>
      <c r="AZ79" s="68"/>
      <c r="BA79" s="66"/>
      <c r="BB79" s="68"/>
    </row>
    <row r="80" spans="1:54" ht="18" customHeight="1" thickBot="1" x14ac:dyDescent="0.3">
      <c r="A80" s="302">
        <f>IF('Table 3-A| Emission Units'!$A138=0,0,'Table 3-A| Emission Units'!A138&amp;"-"&amp;'Table 3-A| Emission Units'!B138)</f>
        <v>0</v>
      </c>
      <c r="B80" s="303">
        <f>'Table 3-A| Emission Units'!$C138</f>
        <v>0</v>
      </c>
      <c r="C80" s="304"/>
      <c r="D80" s="242"/>
      <c r="E80" s="305">
        <f t="shared" si="155"/>
        <v>0</v>
      </c>
      <c r="F80" s="304"/>
      <c r="G80" s="306"/>
      <c r="H80" s="307"/>
      <c r="I80" s="307"/>
      <c r="J80" s="307"/>
      <c r="K80" s="307"/>
      <c r="L80" s="307"/>
      <c r="M80" s="307"/>
      <c r="N80" s="307"/>
      <c r="O80" s="308"/>
      <c r="P80" s="1370"/>
      <c r="Q80" s="1371"/>
      <c r="R80" s="1372"/>
      <c r="S80" s="836"/>
      <c r="T80" s="837"/>
      <c r="U80" s="837"/>
      <c r="V80" s="640"/>
      <c r="W80" s="640"/>
      <c r="X80" s="640"/>
      <c r="Y80" s="640"/>
      <c r="Z80" s="640"/>
      <c r="AA80" s="641"/>
      <c r="AB80" s="547"/>
      <c r="AC80" s="836"/>
      <c r="AD80" s="837"/>
      <c r="AE80" s="837"/>
      <c r="AF80" s="640"/>
      <c r="AG80" s="640"/>
      <c r="AH80" s="640"/>
      <c r="AI80" s="640"/>
      <c r="AJ80" s="640"/>
      <c r="AK80" s="641"/>
      <c r="AM80" s="66">
        <v>20200201</v>
      </c>
      <c r="AN80" s="68" t="s">
        <v>2292</v>
      </c>
      <c r="AO80" s="762">
        <v>6.6E-3</v>
      </c>
      <c r="AP80" s="762">
        <v>1.9E-3</v>
      </c>
      <c r="AQ80" s="762">
        <v>0.32</v>
      </c>
      <c r="AR80" s="762">
        <v>5.8799999999999998E-4</v>
      </c>
      <c r="AS80" s="762">
        <v>2.0999999999999999E-3</v>
      </c>
      <c r="AT80" s="762">
        <v>8.2000000000000003E-2</v>
      </c>
      <c r="AU80" s="762">
        <f>110+(0.0086*25)</f>
        <v>110.215</v>
      </c>
      <c r="AV80" s="629">
        <v>0</v>
      </c>
      <c r="AW80" s="629">
        <v>1.2700000000000001E-3</v>
      </c>
      <c r="AX80" s="756" t="s">
        <v>2284</v>
      </c>
    </row>
    <row r="81" spans="1:54" ht="18" customHeight="1" x14ac:dyDescent="0.25">
      <c r="A81" s="302">
        <f>IF('Table 3-A| Emission Units'!$A139=0,0,'Table 3-A| Emission Units'!A139&amp;"-"&amp;'Table 3-A| Emission Units'!B139)</f>
        <v>0</v>
      </c>
      <c r="B81" s="303">
        <f>'Table 3-A| Emission Units'!$C139</f>
        <v>0</v>
      </c>
      <c r="C81" s="304"/>
      <c r="D81" s="242"/>
      <c r="E81" s="305">
        <f t="shared" si="155"/>
        <v>0</v>
      </c>
      <c r="F81" s="304"/>
      <c r="G81" s="306"/>
      <c r="H81" s="307"/>
      <c r="I81" s="307"/>
      <c r="J81" s="307"/>
      <c r="K81" s="307"/>
      <c r="L81" s="307"/>
      <c r="M81" s="307"/>
      <c r="N81" s="307"/>
      <c r="O81" s="308"/>
      <c r="S81" s="639"/>
      <c r="T81" s="640"/>
      <c r="U81" s="640"/>
      <c r="V81" s="640"/>
      <c r="W81" s="640"/>
      <c r="X81" s="640"/>
      <c r="Y81" s="640"/>
      <c r="Z81" s="640"/>
      <c r="AA81" s="641"/>
      <c r="AC81" s="639"/>
      <c r="AD81" s="640"/>
      <c r="AE81" s="640"/>
      <c r="AF81" s="640"/>
      <c r="AG81" s="640"/>
      <c r="AH81" s="640"/>
      <c r="AI81" s="640"/>
      <c r="AJ81" s="640"/>
      <c r="AK81" s="641"/>
      <c r="AM81" s="66">
        <v>20200253</v>
      </c>
      <c r="AN81" s="68" t="s">
        <v>2131</v>
      </c>
      <c r="AO81" s="762">
        <v>19.8</v>
      </c>
      <c r="AP81" s="762">
        <v>19.8</v>
      </c>
      <c r="AQ81" s="762">
        <v>2315.4</v>
      </c>
      <c r="AR81" s="762">
        <v>0.6</v>
      </c>
      <c r="AS81" s="762">
        <v>30.19</v>
      </c>
      <c r="AT81" s="762">
        <v>3794.4</v>
      </c>
      <c r="AU81" s="762">
        <v>118065</v>
      </c>
      <c r="AV81" s="629">
        <v>0</v>
      </c>
      <c r="AW81" s="629">
        <v>33.01</v>
      </c>
      <c r="AX81" s="756" t="s">
        <v>1505</v>
      </c>
      <c r="BA81" s="66"/>
      <c r="BB81" s="68"/>
    </row>
    <row r="82" spans="1:54" ht="18" customHeight="1" x14ac:dyDescent="0.25">
      <c r="A82" s="302">
        <f>IF('Table 3-A| Emission Units'!$A140=0,0,'Table 3-A| Emission Units'!A140&amp;"-"&amp;'Table 3-A| Emission Units'!B140)</f>
        <v>0</v>
      </c>
      <c r="B82" s="303">
        <f>'Table 3-A| Emission Units'!$C140</f>
        <v>0</v>
      </c>
      <c r="C82" s="304"/>
      <c r="D82" s="242"/>
      <c r="E82" s="305">
        <f t="shared" si="155"/>
        <v>0</v>
      </c>
      <c r="F82" s="304"/>
      <c r="G82" s="306"/>
      <c r="H82" s="307"/>
      <c r="I82" s="307"/>
      <c r="J82" s="307"/>
      <c r="K82" s="307"/>
      <c r="L82" s="307"/>
      <c r="M82" s="307"/>
      <c r="N82" s="307"/>
      <c r="O82" s="308"/>
      <c r="S82" s="639"/>
      <c r="T82" s="640"/>
      <c r="U82" s="640"/>
      <c r="V82" s="640"/>
      <c r="W82" s="640"/>
      <c r="X82" s="640"/>
      <c r="Y82" s="640"/>
      <c r="Z82" s="640"/>
      <c r="AA82" s="641"/>
      <c r="AC82" s="639"/>
      <c r="AD82" s="640"/>
      <c r="AE82" s="640"/>
      <c r="AF82" s="640"/>
      <c r="AG82" s="640"/>
      <c r="AH82" s="640"/>
      <c r="AI82" s="640"/>
      <c r="AJ82" s="640"/>
      <c r="AK82" s="641"/>
      <c r="AM82" s="66">
        <v>20200254</v>
      </c>
      <c r="AN82" s="68" t="s">
        <v>2132</v>
      </c>
      <c r="AO82" s="762">
        <v>10.19</v>
      </c>
      <c r="AP82" s="762">
        <v>10.19</v>
      </c>
      <c r="AQ82" s="762">
        <v>4161.6000000000004</v>
      </c>
      <c r="AR82" s="762">
        <v>0.6</v>
      </c>
      <c r="AS82" s="762">
        <v>120.36</v>
      </c>
      <c r="AT82" s="762">
        <v>568.14</v>
      </c>
      <c r="AU82" s="762">
        <v>144075</v>
      </c>
      <c r="AV82" s="629">
        <v>0</v>
      </c>
      <c r="AW82" s="629">
        <v>73.63</v>
      </c>
      <c r="AX82" s="756" t="s">
        <v>1505</v>
      </c>
      <c r="BA82" s="66"/>
      <c r="BB82" s="68"/>
    </row>
    <row r="83" spans="1:54" ht="18" customHeight="1" x14ac:dyDescent="0.25">
      <c r="A83" s="302">
        <f>IF('Table 3-A| Emission Units'!$A141=0,0,'Table 3-A| Emission Units'!A141&amp;"-"&amp;'Table 3-A| Emission Units'!B141)</f>
        <v>0</v>
      </c>
      <c r="B83" s="303">
        <f>'Table 3-A| Emission Units'!$C141</f>
        <v>0</v>
      </c>
      <c r="C83" s="304"/>
      <c r="D83" s="242"/>
      <c r="E83" s="305">
        <f t="shared" si="155"/>
        <v>0</v>
      </c>
      <c r="F83" s="304"/>
      <c r="G83" s="306"/>
      <c r="H83" s="307"/>
      <c r="I83" s="307"/>
      <c r="J83" s="307"/>
      <c r="K83" s="307"/>
      <c r="L83" s="307"/>
      <c r="M83" s="307"/>
      <c r="N83" s="307"/>
      <c r="O83" s="308"/>
      <c r="S83" s="836"/>
      <c r="T83" s="837"/>
      <c r="U83" s="837"/>
      <c r="V83" s="640"/>
      <c r="W83" s="640"/>
      <c r="X83" s="640"/>
      <c r="Y83" s="640"/>
      <c r="Z83" s="640"/>
      <c r="AA83" s="641"/>
      <c r="AC83" s="639"/>
      <c r="AD83" s="640"/>
      <c r="AE83" s="640"/>
      <c r="AF83" s="640"/>
      <c r="AG83" s="640"/>
      <c r="AH83" s="640"/>
      <c r="AI83" s="640"/>
      <c r="AJ83" s="640"/>
      <c r="AK83" s="641"/>
      <c r="AM83" s="66">
        <v>20200301</v>
      </c>
      <c r="AN83" s="68" t="s">
        <v>2133</v>
      </c>
      <c r="AO83" s="762">
        <v>12.6</v>
      </c>
      <c r="AP83" s="762">
        <v>12.6</v>
      </c>
      <c r="AQ83" s="762">
        <v>205</v>
      </c>
      <c r="AR83" s="762">
        <v>10.6</v>
      </c>
      <c r="AS83" s="762">
        <v>382</v>
      </c>
      <c r="AT83" s="762">
        <v>7900</v>
      </c>
      <c r="AU83" s="762">
        <v>19500</v>
      </c>
      <c r="AV83" s="629">
        <v>0</v>
      </c>
      <c r="AW83" s="629">
        <v>0.01</v>
      </c>
      <c r="AX83" s="756" t="s">
        <v>1506</v>
      </c>
      <c r="BA83" s="66"/>
      <c r="BB83" s="68"/>
    </row>
    <row r="84" spans="1:54" ht="18" customHeight="1" x14ac:dyDescent="0.25">
      <c r="A84" s="302">
        <f>IF('Table 3-A| Emission Units'!$A142=0,0,'Table 3-A| Emission Units'!A142&amp;"-"&amp;'Table 3-A| Emission Units'!B142)</f>
        <v>0</v>
      </c>
      <c r="B84" s="303">
        <f>'Table 3-A| Emission Units'!$C142</f>
        <v>0</v>
      </c>
      <c r="C84" s="304"/>
      <c r="D84" s="242"/>
      <c r="E84" s="305">
        <f t="shared" si="155"/>
        <v>0</v>
      </c>
      <c r="F84" s="304"/>
      <c r="G84" s="306"/>
      <c r="H84" s="307"/>
      <c r="I84" s="307"/>
      <c r="J84" s="307"/>
      <c r="K84" s="307"/>
      <c r="L84" s="307"/>
      <c r="M84" s="307"/>
      <c r="N84" s="307"/>
      <c r="O84" s="308"/>
      <c r="S84" s="639"/>
      <c r="T84" s="640"/>
      <c r="U84" s="640"/>
      <c r="V84" s="640"/>
      <c r="W84" s="640"/>
      <c r="X84" s="640"/>
      <c r="Y84" s="640"/>
      <c r="Z84" s="640"/>
      <c r="AA84" s="641"/>
      <c r="AC84" s="639"/>
      <c r="AD84" s="640"/>
      <c r="AE84" s="640"/>
      <c r="AF84" s="640"/>
      <c r="AG84" s="640"/>
      <c r="AH84" s="640"/>
      <c r="AI84" s="640"/>
      <c r="AJ84" s="640"/>
      <c r="AK84" s="641"/>
      <c r="AM84" s="66">
        <v>20200401</v>
      </c>
      <c r="AN84" s="68" t="s">
        <v>2129</v>
      </c>
      <c r="AO84" s="762">
        <v>7.85</v>
      </c>
      <c r="AP84" s="762">
        <v>7.55</v>
      </c>
      <c r="AQ84" s="762">
        <v>438</v>
      </c>
      <c r="AR84" s="762">
        <v>6.9</v>
      </c>
      <c r="AS84" s="762">
        <v>11.5</v>
      </c>
      <c r="AT84" s="762">
        <v>116</v>
      </c>
      <c r="AU84" s="762">
        <v>22627.75</v>
      </c>
      <c r="AV84" s="629">
        <v>0</v>
      </c>
      <c r="AW84" s="629">
        <v>2.0509352100000003E-4</v>
      </c>
      <c r="AX84" s="756" t="s">
        <v>1506</v>
      </c>
      <c r="BA84" s="66"/>
      <c r="BB84" s="68"/>
    </row>
    <row r="85" spans="1:54" ht="18" customHeight="1" x14ac:dyDescent="0.25">
      <c r="A85" s="302">
        <f>IF('Table 3-A| Emission Units'!$A143=0,0,'Table 3-A| Emission Units'!A143&amp;"-"&amp;'Table 3-A| Emission Units'!B143)</f>
        <v>0</v>
      </c>
      <c r="B85" s="303">
        <f>'Table 3-A| Emission Units'!$C143</f>
        <v>0</v>
      </c>
      <c r="C85" s="304"/>
      <c r="D85" s="242"/>
      <c r="E85" s="305">
        <f t="shared" ref="E85:E108" si="156">IF(OR(ISBLANK(C85),ISTEXT(C85)),0,C85*8760)</f>
        <v>0</v>
      </c>
      <c r="F85" s="304"/>
      <c r="G85" s="306"/>
      <c r="H85" s="307"/>
      <c r="I85" s="307"/>
      <c r="J85" s="307"/>
      <c r="K85" s="307"/>
      <c r="L85" s="307"/>
      <c r="M85" s="307"/>
      <c r="N85" s="307"/>
      <c r="O85" s="308"/>
      <c r="S85" s="636"/>
      <c r="T85" s="637"/>
      <c r="U85" s="637"/>
      <c r="V85" s="637"/>
      <c r="W85" s="637"/>
      <c r="X85" s="637"/>
      <c r="Y85" s="637"/>
      <c r="Z85" s="637"/>
      <c r="AA85" s="638"/>
      <c r="AC85" s="636"/>
      <c r="AD85" s="637"/>
      <c r="AE85" s="637"/>
      <c r="AF85" s="637"/>
      <c r="AG85" s="637"/>
      <c r="AH85" s="637"/>
      <c r="AI85" s="637"/>
      <c r="AJ85" s="637"/>
      <c r="AK85" s="638"/>
      <c r="AM85" s="66">
        <v>20300102</v>
      </c>
      <c r="AN85" s="68" t="s">
        <v>2286</v>
      </c>
      <c r="AO85" s="762">
        <v>1.0999999999999999E-2</v>
      </c>
      <c r="AP85" s="762">
        <v>1.0999999999999999E-2</v>
      </c>
      <c r="AQ85" s="762">
        <v>0.88</v>
      </c>
      <c r="AR85" s="762">
        <v>5.0999999999999997E-2</v>
      </c>
      <c r="AS85" s="762">
        <v>4.0999999999999999E-4</v>
      </c>
      <c r="AT85" s="762">
        <v>3.3E-3</v>
      </c>
      <c r="AU85" s="762">
        <v>157</v>
      </c>
      <c r="AV85" s="629">
        <v>1.4E-5</v>
      </c>
      <c r="AW85" s="629">
        <v>1.2899999999999999E-3</v>
      </c>
      <c r="AX85" s="756" t="s">
        <v>2284</v>
      </c>
    </row>
    <row r="86" spans="1:54" ht="18" customHeight="1" x14ac:dyDescent="0.25">
      <c r="A86" s="302">
        <f>IF('Table 3-A| Emission Units'!$A144=0,0,'Table 3-A| Emission Units'!A144&amp;"-"&amp;'Table 3-A| Emission Units'!B144)</f>
        <v>0</v>
      </c>
      <c r="B86" s="303">
        <f>'Table 3-A| Emission Units'!$C144</f>
        <v>0</v>
      </c>
      <c r="C86" s="304"/>
      <c r="D86" s="242"/>
      <c r="E86" s="305">
        <f t="shared" si="156"/>
        <v>0</v>
      </c>
      <c r="F86" s="304"/>
      <c r="G86" s="306"/>
      <c r="H86" s="307"/>
      <c r="I86" s="307"/>
      <c r="J86" s="307"/>
      <c r="K86" s="307"/>
      <c r="L86" s="307"/>
      <c r="M86" s="307"/>
      <c r="N86" s="307"/>
      <c r="O86" s="308"/>
      <c r="S86" s="639"/>
      <c r="T86" s="640"/>
      <c r="U86" s="640"/>
      <c r="V86" s="640"/>
      <c r="W86" s="640"/>
      <c r="X86" s="640"/>
      <c r="Y86" s="640"/>
      <c r="Z86" s="640"/>
      <c r="AA86" s="641"/>
      <c r="AC86" s="639"/>
      <c r="AD86" s="640"/>
      <c r="AE86" s="640"/>
      <c r="AF86" s="640"/>
      <c r="AG86" s="640"/>
      <c r="AH86" s="640"/>
      <c r="AI86" s="640"/>
      <c r="AJ86" s="640"/>
      <c r="AK86" s="641"/>
      <c r="AM86" s="66">
        <v>20300202</v>
      </c>
      <c r="AN86" s="68" t="s">
        <v>2287</v>
      </c>
      <c r="AO86" s="762">
        <v>6.6E-3</v>
      </c>
      <c r="AP86" s="762">
        <v>1.9E-3</v>
      </c>
      <c r="AQ86" s="762">
        <v>0.32</v>
      </c>
      <c r="AR86" s="762">
        <v>5.8799999999999998E-4</v>
      </c>
      <c r="AS86" s="762">
        <v>2.0999999999999999E-3</v>
      </c>
      <c r="AT86" s="762">
        <v>8.2000000000000003E-2</v>
      </c>
      <c r="AU86" s="762">
        <f>110+(0.0086*25)</f>
        <v>110.215</v>
      </c>
      <c r="AV86" s="629">
        <v>0</v>
      </c>
      <c r="AW86" s="629">
        <v>1.2700000000000001E-3</v>
      </c>
      <c r="AX86" s="756" t="s">
        <v>2284</v>
      </c>
    </row>
    <row r="87" spans="1:54" ht="18" customHeight="1" x14ac:dyDescent="0.25">
      <c r="A87" s="302">
        <f>IF('Table 3-A| Emission Units'!$A145=0,0,'Table 3-A| Emission Units'!A145&amp;"-"&amp;'Table 3-A| Emission Units'!B145)</f>
        <v>0</v>
      </c>
      <c r="B87" s="303">
        <f>'Table 3-A| Emission Units'!$C145</f>
        <v>0</v>
      </c>
      <c r="C87" s="304"/>
      <c r="D87" s="242"/>
      <c r="E87" s="305">
        <f t="shared" si="156"/>
        <v>0</v>
      </c>
      <c r="F87" s="304"/>
      <c r="G87" s="306"/>
      <c r="H87" s="307"/>
      <c r="I87" s="307"/>
      <c r="J87" s="307"/>
      <c r="K87" s="307"/>
      <c r="L87" s="307"/>
      <c r="M87" s="307"/>
      <c r="N87" s="307"/>
      <c r="O87" s="308"/>
      <c r="S87" s="639"/>
      <c r="T87" s="640"/>
      <c r="U87" s="640"/>
      <c r="V87" s="640"/>
      <c r="W87" s="640"/>
      <c r="X87" s="640"/>
      <c r="Y87" s="640"/>
      <c r="Z87" s="640"/>
      <c r="AA87" s="641"/>
      <c r="AC87" s="639"/>
      <c r="AD87" s="640"/>
      <c r="AE87" s="640"/>
      <c r="AF87" s="640"/>
      <c r="AG87" s="640"/>
      <c r="AH87" s="640"/>
      <c r="AI87" s="640"/>
      <c r="AJ87" s="640"/>
      <c r="AK87" s="641"/>
      <c r="AM87" s="66">
        <v>38500101</v>
      </c>
      <c r="AN87" s="68" t="s">
        <v>2187</v>
      </c>
      <c r="AO87" s="762">
        <f>'Table 3-A| Emission Units'!$E$45*'Table 3-A| Emission Units'!$E$44</f>
        <v>0</v>
      </c>
      <c r="AP87" s="762">
        <v>0</v>
      </c>
      <c r="AQ87" s="762">
        <v>0</v>
      </c>
      <c r="AR87" s="762">
        <v>0</v>
      </c>
      <c r="AS87" s="762">
        <v>0</v>
      </c>
      <c r="AT87" s="762">
        <v>0</v>
      </c>
      <c r="AU87" s="762">
        <v>0</v>
      </c>
      <c r="AV87" s="629">
        <v>0</v>
      </c>
      <c r="AW87" s="629">
        <v>0</v>
      </c>
      <c r="AX87" s="756" t="s">
        <v>2331</v>
      </c>
    </row>
    <row r="88" spans="1:54" ht="18" customHeight="1" x14ac:dyDescent="0.25">
      <c r="A88" s="302">
        <f>IF('Table 3-A| Emission Units'!$A146=0,0,'Table 3-A| Emission Units'!A146&amp;"-"&amp;'Table 3-A| Emission Units'!B146)</f>
        <v>0</v>
      </c>
      <c r="B88" s="303">
        <f>'Table 3-A| Emission Units'!$C146</f>
        <v>0</v>
      </c>
      <c r="C88" s="304"/>
      <c r="D88" s="242"/>
      <c r="E88" s="305">
        <f t="shared" si="156"/>
        <v>0</v>
      </c>
      <c r="F88" s="304"/>
      <c r="G88" s="306"/>
      <c r="H88" s="307"/>
      <c r="I88" s="307"/>
      <c r="J88" s="307"/>
      <c r="K88" s="307"/>
      <c r="L88" s="307"/>
      <c r="M88" s="307"/>
      <c r="N88" s="307"/>
      <c r="O88" s="308"/>
      <c r="S88" s="639"/>
      <c r="T88" s="640"/>
      <c r="U88" s="640"/>
      <c r="V88" s="640"/>
      <c r="W88" s="640"/>
      <c r="X88" s="640"/>
      <c r="Y88" s="640"/>
      <c r="Z88" s="640"/>
      <c r="AA88" s="641"/>
      <c r="AC88" s="639"/>
      <c r="AD88" s="640"/>
      <c r="AE88" s="640"/>
      <c r="AF88" s="640"/>
      <c r="AG88" s="640"/>
      <c r="AH88" s="640"/>
      <c r="AI88" s="640"/>
      <c r="AJ88" s="640"/>
      <c r="AK88" s="641"/>
      <c r="AM88" s="66"/>
      <c r="AN88" s="68"/>
      <c r="AO88" s="762"/>
      <c r="AP88" s="762"/>
      <c r="AQ88" s="762"/>
      <c r="AR88" s="762"/>
      <c r="AS88" s="762"/>
      <c r="AT88" s="762"/>
      <c r="AU88" s="762"/>
      <c r="AV88" s="629"/>
      <c r="AW88" s="629"/>
      <c r="AX88" s="756"/>
    </row>
    <row r="89" spans="1:54" ht="18" customHeight="1" x14ac:dyDescent="0.25">
      <c r="A89" s="302">
        <f>IF('Table 3-A| Emission Units'!$A147=0,0,'Table 3-A| Emission Units'!A147&amp;"-"&amp;'Table 3-A| Emission Units'!B147)</f>
        <v>0</v>
      </c>
      <c r="B89" s="303">
        <f>'Table 3-A| Emission Units'!$C147</f>
        <v>0</v>
      </c>
      <c r="C89" s="304"/>
      <c r="D89" s="242"/>
      <c r="E89" s="305">
        <f t="shared" si="156"/>
        <v>0</v>
      </c>
      <c r="F89" s="304"/>
      <c r="G89" s="306"/>
      <c r="H89" s="307"/>
      <c r="I89" s="307"/>
      <c r="J89" s="307"/>
      <c r="K89" s="307"/>
      <c r="L89" s="307"/>
      <c r="M89" s="307"/>
      <c r="N89" s="307"/>
      <c r="O89" s="308"/>
      <c r="S89" s="639"/>
      <c r="T89" s="640"/>
      <c r="U89" s="640"/>
      <c r="V89" s="640"/>
      <c r="W89" s="640"/>
      <c r="X89" s="640"/>
      <c r="Y89" s="640"/>
      <c r="Z89" s="640"/>
      <c r="AA89" s="641"/>
      <c r="AC89" s="639"/>
      <c r="AD89" s="640"/>
      <c r="AE89" s="640"/>
      <c r="AF89" s="640"/>
      <c r="AG89" s="640"/>
      <c r="AH89" s="640"/>
      <c r="AI89" s="640"/>
      <c r="AJ89" s="640"/>
      <c r="AK89" s="641"/>
      <c r="AM89" s="66"/>
      <c r="AN89" s="68"/>
      <c r="AO89" s="762"/>
      <c r="AP89" s="762"/>
      <c r="AQ89" s="762"/>
      <c r="AR89" s="762"/>
      <c r="AS89" s="762"/>
      <c r="AT89" s="762"/>
      <c r="AU89" s="762"/>
      <c r="AV89" s="629"/>
      <c r="AW89" s="629"/>
      <c r="AX89" s="756"/>
    </row>
    <row r="90" spans="1:54" ht="18" customHeight="1" x14ac:dyDescent="0.25">
      <c r="A90" s="302">
        <f>IF('Table 3-A| Emission Units'!$A148=0,0,'Table 3-A| Emission Units'!A148&amp;"-"&amp;'Table 3-A| Emission Units'!B148)</f>
        <v>0</v>
      </c>
      <c r="B90" s="303">
        <f>'Table 3-A| Emission Units'!$C148</f>
        <v>0</v>
      </c>
      <c r="C90" s="304"/>
      <c r="D90" s="242"/>
      <c r="E90" s="305">
        <f t="shared" si="156"/>
        <v>0</v>
      </c>
      <c r="F90" s="304"/>
      <c r="G90" s="306"/>
      <c r="H90" s="307"/>
      <c r="I90" s="307"/>
      <c r="J90" s="307"/>
      <c r="K90" s="307"/>
      <c r="L90" s="307"/>
      <c r="M90" s="307"/>
      <c r="N90" s="307"/>
      <c r="O90" s="308"/>
      <c r="S90" s="639"/>
      <c r="T90" s="640"/>
      <c r="U90" s="640"/>
      <c r="V90" s="640"/>
      <c r="W90" s="640"/>
      <c r="X90" s="640"/>
      <c r="Y90" s="640"/>
      <c r="Z90" s="640"/>
      <c r="AA90" s="641"/>
      <c r="AC90" s="639"/>
      <c r="AD90" s="640"/>
      <c r="AE90" s="640"/>
      <c r="AF90" s="640"/>
      <c r="AG90" s="640"/>
      <c r="AH90" s="640"/>
      <c r="AI90" s="640"/>
      <c r="AJ90" s="640"/>
      <c r="AK90" s="641"/>
      <c r="AM90" s="66"/>
      <c r="AN90" s="68"/>
      <c r="AO90" s="762"/>
      <c r="AP90" s="762"/>
      <c r="AQ90" s="762"/>
      <c r="AR90" s="762"/>
      <c r="AS90" s="762"/>
      <c r="AT90" s="762"/>
      <c r="AU90" s="762"/>
      <c r="AV90" s="629"/>
      <c r="AW90" s="629"/>
      <c r="AX90" s="756"/>
    </row>
    <row r="91" spans="1:54" ht="18" customHeight="1" x14ac:dyDescent="0.25">
      <c r="A91" s="302">
        <f>IF('Table 3-A| Emission Units'!$A149=0,0,'Table 3-A| Emission Units'!A149&amp;"-"&amp;'Table 3-A| Emission Units'!B149)</f>
        <v>0</v>
      </c>
      <c r="B91" s="303">
        <f>'Table 3-A| Emission Units'!$C149</f>
        <v>0</v>
      </c>
      <c r="C91" s="304"/>
      <c r="D91" s="242"/>
      <c r="E91" s="305">
        <f t="shared" si="156"/>
        <v>0</v>
      </c>
      <c r="F91" s="304"/>
      <c r="G91" s="306"/>
      <c r="H91" s="307"/>
      <c r="I91" s="307"/>
      <c r="J91" s="307"/>
      <c r="K91" s="307"/>
      <c r="L91" s="307"/>
      <c r="M91" s="307"/>
      <c r="N91" s="307"/>
      <c r="O91" s="308"/>
      <c r="S91" s="639"/>
      <c r="T91" s="640"/>
      <c r="U91" s="640"/>
      <c r="V91" s="640"/>
      <c r="W91" s="640"/>
      <c r="X91" s="640"/>
      <c r="Y91" s="640"/>
      <c r="Z91" s="640"/>
      <c r="AA91" s="641"/>
      <c r="AC91" s="639"/>
      <c r="AD91" s="640"/>
      <c r="AE91" s="640"/>
      <c r="AF91" s="640"/>
      <c r="AG91" s="640"/>
      <c r="AH91" s="640"/>
      <c r="AI91" s="640"/>
      <c r="AJ91" s="640"/>
      <c r="AK91" s="641"/>
      <c r="AM91" s="66"/>
      <c r="AN91" s="68"/>
      <c r="AO91" s="762"/>
      <c r="AP91" s="762"/>
      <c r="AQ91" s="762"/>
      <c r="AR91" s="762"/>
      <c r="AS91" s="762"/>
      <c r="AT91" s="762"/>
      <c r="AU91" s="762"/>
      <c r="AV91" s="629"/>
      <c r="AW91" s="629"/>
      <c r="AX91" s="756"/>
    </row>
    <row r="92" spans="1:54" ht="18" customHeight="1" x14ac:dyDescent="0.25">
      <c r="A92" s="302">
        <f>IF('Table 3-A| Emission Units'!$A150=0,0,'Table 3-A| Emission Units'!A150&amp;"-"&amp;'Table 3-A| Emission Units'!B150)</f>
        <v>0</v>
      </c>
      <c r="B92" s="303">
        <f>'Table 3-A| Emission Units'!$C150</f>
        <v>0</v>
      </c>
      <c r="C92" s="304"/>
      <c r="D92" s="242"/>
      <c r="E92" s="305">
        <f t="shared" si="156"/>
        <v>0</v>
      </c>
      <c r="F92" s="304"/>
      <c r="G92" s="306"/>
      <c r="H92" s="307"/>
      <c r="I92" s="307"/>
      <c r="J92" s="307"/>
      <c r="K92" s="307"/>
      <c r="L92" s="307"/>
      <c r="M92" s="307"/>
      <c r="N92" s="307"/>
      <c r="O92" s="308"/>
      <c r="S92" s="639"/>
      <c r="T92" s="640"/>
      <c r="U92" s="640"/>
      <c r="V92" s="640"/>
      <c r="W92" s="640"/>
      <c r="X92" s="640"/>
      <c r="Y92" s="640"/>
      <c r="Z92" s="640"/>
      <c r="AA92" s="641"/>
      <c r="AC92" s="639"/>
      <c r="AD92" s="640"/>
      <c r="AE92" s="640"/>
      <c r="AF92" s="640"/>
      <c r="AG92" s="640"/>
      <c r="AH92" s="640"/>
      <c r="AI92" s="640"/>
      <c r="AJ92" s="640"/>
      <c r="AK92" s="641"/>
      <c r="AM92" s="66"/>
      <c r="AN92" s="68"/>
      <c r="AO92" s="762"/>
      <c r="AP92" s="762"/>
      <c r="AQ92" s="762"/>
      <c r="AR92" s="762"/>
      <c r="AS92" s="762"/>
      <c r="AT92" s="762"/>
      <c r="AU92" s="762"/>
      <c r="AV92" s="629"/>
      <c r="AW92" s="629"/>
      <c r="AX92" s="756"/>
    </row>
    <row r="93" spans="1:54" ht="18" customHeight="1" x14ac:dyDescent="0.25">
      <c r="A93" s="302">
        <f>IF('Table 3-A| Emission Units'!$A151=0,0,'Table 3-A| Emission Units'!A151&amp;"-"&amp;'Table 3-A| Emission Units'!B151)</f>
        <v>0</v>
      </c>
      <c r="B93" s="303">
        <f>'Table 3-A| Emission Units'!$C151</f>
        <v>0</v>
      </c>
      <c r="C93" s="304"/>
      <c r="D93" s="242"/>
      <c r="E93" s="305">
        <f t="shared" si="156"/>
        <v>0</v>
      </c>
      <c r="F93" s="304"/>
      <c r="G93" s="306"/>
      <c r="H93" s="307"/>
      <c r="I93" s="307"/>
      <c r="J93" s="307"/>
      <c r="K93" s="307"/>
      <c r="L93" s="307"/>
      <c r="M93" s="307"/>
      <c r="N93" s="307"/>
      <c r="O93" s="308"/>
      <c r="S93" s="639"/>
      <c r="T93" s="640"/>
      <c r="U93" s="640"/>
      <c r="V93" s="640"/>
      <c r="W93" s="640"/>
      <c r="X93" s="640"/>
      <c r="Y93" s="640"/>
      <c r="Z93" s="640"/>
      <c r="AA93" s="641"/>
      <c r="AC93" s="639"/>
      <c r="AD93" s="640"/>
      <c r="AE93" s="640"/>
      <c r="AF93" s="640"/>
      <c r="AG93" s="640"/>
      <c r="AH93" s="640"/>
      <c r="AI93" s="640"/>
      <c r="AJ93" s="640"/>
      <c r="AK93" s="641"/>
      <c r="AM93" s="66"/>
      <c r="AN93" s="68"/>
      <c r="AO93" s="762"/>
      <c r="AP93" s="762"/>
      <c r="AQ93" s="762"/>
      <c r="AR93" s="762"/>
      <c r="AS93" s="762"/>
      <c r="AT93" s="762"/>
      <c r="AU93" s="762"/>
      <c r="AV93" s="629"/>
      <c r="AW93" s="629"/>
      <c r="AX93" s="756"/>
    </row>
    <row r="94" spans="1:54" ht="18" customHeight="1" x14ac:dyDescent="0.25">
      <c r="A94" s="302">
        <f>IF('Table 3-A| Emission Units'!$A152=0,0,'Table 3-A| Emission Units'!A152&amp;"-"&amp;'Table 3-A| Emission Units'!B152)</f>
        <v>0</v>
      </c>
      <c r="B94" s="303">
        <f>'Table 3-A| Emission Units'!$C152</f>
        <v>0</v>
      </c>
      <c r="C94" s="304"/>
      <c r="D94" s="242"/>
      <c r="E94" s="305">
        <f t="shared" si="156"/>
        <v>0</v>
      </c>
      <c r="F94" s="304"/>
      <c r="G94" s="306"/>
      <c r="H94" s="307"/>
      <c r="I94" s="307"/>
      <c r="J94" s="307"/>
      <c r="K94" s="307"/>
      <c r="L94" s="307"/>
      <c r="M94" s="307"/>
      <c r="N94" s="307"/>
      <c r="O94" s="308"/>
      <c r="S94" s="639"/>
      <c r="T94" s="640"/>
      <c r="U94" s="640"/>
      <c r="V94" s="640"/>
      <c r="W94" s="640"/>
      <c r="X94" s="640"/>
      <c r="Y94" s="640"/>
      <c r="Z94" s="640"/>
      <c r="AA94" s="641"/>
      <c r="AC94" s="639"/>
      <c r="AD94" s="640"/>
      <c r="AE94" s="640"/>
      <c r="AF94" s="640"/>
      <c r="AG94" s="640"/>
      <c r="AH94" s="640"/>
      <c r="AI94" s="640"/>
      <c r="AJ94" s="640"/>
      <c r="AK94" s="641"/>
      <c r="AM94" s="66"/>
      <c r="AN94" s="68"/>
      <c r="AO94" s="762"/>
      <c r="AP94" s="762"/>
      <c r="AQ94" s="762"/>
      <c r="AR94" s="762"/>
      <c r="AS94" s="762"/>
      <c r="AT94" s="762"/>
      <c r="AU94" s="762"/>
      <c r="AV94" s="629"/>
      <c r="AW94" s="629"/>
      <c r="AX94" s="756"/>
    </row>
    <row r="95" spans="1:54" ht="18" customHeight="1" x14ac:dyDescent="0.25">
      <c r="A95" s="302">
        <f>IF('Table 3-A| Emission Units'!$A153=0,0,'Table 3-A| Emission Units'!A153&amp;"-"&amp;'Table 3-A| Emission Units'!B153)</f>
        <v>0</v>
      </c>
      <c r="B95" s="303">
        <f>'Table 3-A| Emission Units'!$C153</f>
        <v>0</v>
      </c>
      <c r="C95" s="304"/>
      <c r="D95" s="242"/>
      <c r="E95" s="305">
        <f t="shared" si="156"/>
        <v>0</v>
      </c>
      <c r="F95" s="304"/>
      <c r="G95" s="306"/>
      <c r="H95" s="307"/>
      <c r="I95" s="307"/>
      <c r="J95" s="307"/>
      <c r="K95" s="307"/>
      <c r="L95" s="307"/>
      <c r="M95" s="307"/>
      <c r="N95" s="307"/>
      <c r="O95" s="308"/>
      <c r="S95" s="639"/>
      <c r="T95" s="640"/>
      <c r="U95" s="640"/>
      <c r="V95" s="640"/>
      <c r="W95" s="640"/>
      <c r="X95" s="640"/>
      <c r="Y95" s="640"/>
      <c r="Z95" s="640"/>
      <c r="AA95" s="641"/>
      <c r="AC95" s="639"/>
      <c r="AD95" s="640"/>
      <c r="AE95" s="640"/>
      <c r="AF95" s="640"/>
      <c r="AG95" s="640"/>
      <c r="AH95" s="640"/>
      <c r="AI95" s="640"/>
      <c r="AJ95" s="640"/>
      <c r="AK95" s="641"/>
      <c r="AM95" s="66"/>
      <c r="AN95" s="68"/>
      <c r="AO95" s="762"/>
      <c r="AP95" s="762"/>
      <c r="AQ95" s="762"/>
      <c r="AR95" s="762"/>
      <c r="AS95" s="762"/>
      <c r="AT95" s="762"/>
      <c r="AU95" s="762"/>
      <c r="AV95" s="629"/>
      <c r="AW95" s="629"/>
      <c r="AX95" s="756"/>
    </row>
    <row r="96" spans="1:54" ht="18" customHeight="1" x14ac:dyDescent="0.25">
      <c r="A96" s="302">
        <f>IF('Table 3-A| Emission Units'!$A154=0,0,'Table 3-A| Emission Units'!A154&amp;"-"&amp;'Table 3-A| Emission Units'!B154)</f>
        <v>0</v>
      </c>
      <c r="B96" s="303">
        <f>'Table 3-A| Emission Units'!$C154</f>
        <v>0</v>
      </c>
      <c r="C96" s="304"/>
      <c r="D96" s="242"/>
      <c r="E96" s="305">
        <f t="shared" si="156"/>
        <v>0</v>
      </c>
      <c r="F96" s="304"/>
      <c r="G96" s="306"/>
      <c r="H96" s="307"/>
      <c r="I96" s="307"/>
      <c r="J96" s="307"/>
      <c r="K96" s="307"/>
      <c r="L96" s="307"/>
      <c r="M96" s="307"/>
      <c r="N96" s="307"/>
      <c r="O96" s="308"/>
      <c r="S96" s="639"/>
      <c r="T96" s="640"/>
      <c r="U96" s="640"/>
      <c r="V96" s="640"/>
      <c r="W96" s="640"/>
      <c r="X96" s="640"/>
      <c r="Y96" s="640"/>
      <c r="Z96" s="640"/>
      <c r="AA96" s="641"/>
      <c r="AC96" s="639"/>
      <c r="AD96" s="640"/>
      <c r="AE96" s="640"/>
      <c r="AF96" s="640"/>
      <c r="AG96" s="640"/>
      <c r="AH96" s="640"/>
      <c r="AI96" s="640"/>
      <c r="AJ96" s="640"/>
      <c r="AK96" s="641"/>
      <c r="AM96" s="66"/>
      <c r="AN96" s="68"/>
      <c r="AO96" s="762"/>
      <c r="AP96" s="762"/>
      <c r="AQ96" s="762"/>
      <c r="AR96" s="762"/>
      <c r="AS96" s="762"/>
      <c r="AT96" s="762"/>
      <c r="AU96" s="762"/>
      <c r="AV96" s="629"/>
      <c r="AW96" s="629"/>
      <c r="AX96" s="756"/>
    </row>
    <row r="97" spans="1:50" ht="18" customHeight="1" x14ac:dyDescent="0.25">
      <c r="A97" s="302">
        <f>IF('Table 3-A| Emission Units'!$A155=0,0,'Table 3-A| Emission Units'!A155&amp;"-"&amp;'Table 3-A| Emission Units'!B155)</f>
        <v>0</v>
      </c>
      <c r="B97" s="303">
        <f>'Table 3-A| Emission Units'!$C155</f>
        <v>0</v>
      </c>
      <c r="C97" s="304"/>
      <c r="D97" s="242"/>
      <c r="E97" s="305">
        <f t="shared" si="156"/>
        <v>0</v>
      </c>
      <c r="F97" s="304"/>
      <c r="G97" s="306"/>
      <c r="H97" s="307"/>
      <c r="I97" s="307"/>
      <c r="J97" s="307"/>
      <c r="K97" s="307"/>
      <c r="L97" s="307"/>
      <c r="M97" s="307"/>
      <c r="N97" s="307"/>
      <c r="O97" s="308"/>
      <c r="S97" s="639"/>
      <c r="T97" s="640"/>
      <c r="U97" s="640"/>
      <c r="V97" s="640"/>
      <c r="W97" s="640"/>
      <c r="X97" s="640"/>
      <c r="Y97" s="640"/>
      <c r="Z97" s="640"/>
      <c r="AA97" s="641"/>
      <c r="AC97" s="639"/>
      <c r="AD97" s="640"/>
      <c r="AE97" s="640"/>
      <c r="AF97" s="640"/>
      <c r="AG97" s="640"/>
      <c r="AH97" s="640"/>
      <c r="AI97" s="640"/>
      <c r="AJ97" s="640"/>
      <c r="AK97" s="641"/>
      <c r="AM97" s="66"/>
      <c r="AN97" s="68"/>
      <c r="AO97" s="762"/>
      <c r="AP97" s="762"/>
      <c r="AQ97" s="762"/>
      <c r="AR97" s="762"/>
      <c r="AS97" s="762"/>
      <c r="AT97" s="762"/>
      <c r="AU97" s="762"/>
      <c r="AV97" s="629"/>
      <c r="AW97" s="629"/>
      <c r="AX97" s="756"/>
    </row>
    <row r="98" spans="1:50" ht="18" customHeight="1" x14ac:dyDescent="0.25">
      <c r="A98" s="302">
        <f>IF('Table 3-A| Emission Units'!$A156=0,0,'Table 3-A| Emission Units'!A156&amp;"-"&amp;'Table 3-A| Emission Units'!B156)</f>
        <v>0</v>
      </c>
      <c r="B98" s="303">
        <f>'Table 3-A| Emission Units'!$C156</f>
        <v>0</v>
      </c>
      <c r="C98" s="304"/>
      <c r="D98" s="242"/>
      <c r="E98" s="305">
        <f t="shared" si="156"/>
        <v>0</v>
      </c>
      <c r="F98" s="304"/>
      <c r="G98" s="306"/>
      <c r="H98" s="307"/>
      <c r="I98" s="307"/>
      <c r="J98" s="307"/>
      <c r="K98" s="307"/>
      <c r="L98" s="307"/>
      <c r="M98" s="307"/>
      <c r="N98" s="307"/>
      <c r="O98" s="308"/>
      <c r="S98" s="639"/>
      <c r="T98" s="640"/>
      <c r="U98" s="640"/>
      <c r="V98" s="640"/>
      <c r="W98" s="640"/>
      <c r="X98" s="640"/>
      <c r="Y98" s="640"/>
      <c r="Z98" s="640"/>
      <c r="AA98" s="641"/>
      <c r="AC98" s="639"/>
      <c r="AD98" s="640"/>
      <c r="AE98" s="640"/>
      <c r="AF98" s="640"/>
      <c r="AG98" s="640"/>
      <c r="AH98" s="640"/>
      <c r="AI98" s="640"/>
      <c r="AJ98" s="640"/>
      <c r="AK98" s="641"/>
      <c r="AM98" s="66"/>
      <c r="AN98" s="68"/>
      <c r="AO98" s="762"/>
      <c r="AP98" s="762"/>
      <c r="AQ98" s="762"/>
      <c r="AR98" s="762"/>
      <c r="AS98" s="762"/>
      <c r="AT98" s="762"/>
      <c r="AU98" s="762"/>
      <c r="AV98" s="629"/>
      <c r="AW98" s="629"/>
      <c r="AX98" s="756"/>
    </row>
    <row r="99" spans="1:50" ht="18" customHeight="1" x14ac:dyDescent="0.25">
      <c r="A99" s="302">
        <f>IF('Table 3-A| Emission Units'!$A157=0,0,'Table 3-A| Emission Units'!A157&amp;"-"&amp;'Table 3-A| Emission Units'!B157)</f>
        <v>0</v>
      </c>
      <c r="B99" s="303">
        <f>'Table 3-A| Emission Units'!$C157</f>
        <v>0</v>
      </c>
      <c r="C99" s="304"/>
      <c r="D99" s="242"/>
      <c r="E99" s="305">
        <f t="shared" si="156"/>
        <v>0</v>
      </c>
      <c r="F99" s="304"/>
      <c r="G99" s="306"/>
      <c r="H99" s="307"/>
      <c r="I99" s="307"/>
      <c r="J99" s="307"/>
      <c r="K99" s="307"/>
      <c r="L99" s="307"/>
      <c r="M99" s="307"/>
      <c r="N99" s="307"/>
      <c r="O99" s="308"/>
      <c r="S99" s="639"/>
      <c r="T99" s="640"/>
      <c r="U99" s="640"/>
      <c r="V99" s="640"/>
      <c r="W99" s="640"/>
      <c r="X99" s="640"/>
      <c r="Y99" s="640"/>
      <c r="Z99" s="640"/>
      <c r="AA99" s="641"/>
      <c r="AC99" s="639"/>
      <c r="AD99" s="640"/>
      <c r="AE99" s="640"/>
      <c r="AF99" s="640"/>
      <c r="AG99" s="640"/>
      <c r="AH99" s="640"/>
      <c r="AI99" s="640"/>
      <c r="AJ99" s="640"/>
      <c r="AK99" s="641"/>
      <c r="AM99" s="66"/>
      <c r="AN99" s="68"/>
      <c r="AO99" s="762"/>
      <c r="AP99" s="762"/>
      <c r="AQ99" s="762"/>
      <c r="AR99" s="762"/>
      <c r="AS99" s="762"/>
      <c r="AT99" s="762"/>
      <c r="AU99" s="762"/>
      <c r="AV99" s="629"/>
      <c r="AW99" s="629"/>
      <c r="AX99" s="756"/>
    </row>
    <row r="100" spans="1:50" ht="18" customHeight="1" x14ac:dyDescent="0.25">
      <c r="A100" s="302">
        <f>IF('Table 3-A| Emission Units'!$A158=0,0,'Table 3-A| Emission Units'!A158&amp;"-"&amp;'Table 3-A| Emission Units'!B158)</f>
        <v>0</v>
      </c>
      <c r="B100" s="303">
        <f>'Table 3-A| Emission Units'!$C158</f>
        <v>0</v>
      </c>
      <c r="C100" s="304"/>
      <c r="D100" s="242"/>
      <c r="E100" s="305">
        <f t="shared" si="156"/>
        <v>0</v>
      </c>
      <c r="F100" s="304"/>
      <c r="G100" s="306"/>
      <c r="H100" s="307"/>
      <c r="I100" s="307"/>
      <c r="J100" s="307"/>
      <c r="K100" s="307"/>
      <c r="L100" s="307"/>
      <c r="M100" s="307"/>
      <c r="N100" s="307"/>
      <c r="O100" s="308"/>
      <c r="S100" s="639"/>
      <c r="T100" s="640"/>
      <c r="U100" s="640"/>
      <c r="V100" s="640"/>
      <c r="W100" s="640"/>
      <c r="X100" s="640"/>
      <c r="Y100" s="640"/>
      <c r="Z100" s="640"/>
      <c r="AA100" s="641"/>
      <c r="AC100" s="639"/>
      <c r="AD100" s="640"/>
      <c r="AE100" s="640"/>
      <c r="AF100" s="640"/>
      <c r="AG100" s="640"/>
      <c r="AH100" s="640"/>
      <c r="AI100" s="640"/>
      <c r="AJ100" s="640"/>
      <c r="AK100" s="641"/>
      <c r="AM100" s="66"/>
      <c r="AN100" s="68"/>
      <c r="AO100" s="762"/>
      <c r="AP100" s="762"/>
      <c r="AQ100" s="762"/>
      <c r="AR100" s="762"/>
      <c r="AS100" s="762"/>
      <c r="AT100" s="762"/>
      <c r="AU100" s="762"/>
      <c r="AV100" s="629"/>
      <c r="AW100" s="629"/>
      <c r="AX100" s="756"/>
    </row>
    <row r="101" spans="1:50" ht="18" customHeight="1" x14ac:dyDescent="0.25">
      <c r="A101" s="302">
        <f>IF('Table 3-A| Emission Units'!$A159=0,0,'Table 3-A| Emission Units'!A159&amp;"-"&amp;'Table 3-A| Emission Units'!B159)</f>
        <v>0</v>
      </c>
      <c r="B101" s="303">
        <f>'Table 3-A| Emission Units'!$C159</f>
        <v>0</v>
      </c>
      <c r="C101" s="304"/>
      <c r="D101" s="242"/>
      <c r="E101" s="305">
        <f t="shared" si="156"/>
        <v>0</v>
      </c>
      <c r="F101" s="304"/>
      <c r="G101" s="306"/>
      <c r="H101" s="307"/>
      <c r="I101" s="307"/>
      <c r="J101" s="307"/>
      <c r="K101" s="307"/>
      <c r="L101" s="307"/>
      <c r="M101" s="307"/>
      <c r="N101" s="307"/>
      <c r="O101" s="308"/>
      <c r="S101" s="639"/>
      <c r="T101" s="640"/>
      <c r="U101" s="640"/>
      <c r="V101" s="640"/>
      <c r="W101" s="640"/>
      <c r="X101" s="640"/>
      <c r="Y101" s="640"/>
      <c r="Z101" s="640"/>
      <c r="AA101" s="641"/>
      <c r="AC101" s="639"/>
      <c r="AD101" s="640"/>
      <c r="AE101" s="640"/>
      <c r="AF101" s="640"/>
      <c r="AG101" s="640"/>
      <c r="AH101" s="640"/>
      <c r="AI101" s="640"/>
      <c r="AJ101" s="640"/>
      <c r="AK101" s="641"/>
      <c r="AM101" s="66"/>
      <c r="AN101" s="68"/>
      <c r="AO101" s="762"/>
      <c r="AP101" s="762"/>
      <c r="AQ101" s="762"/>
      <c r="AR101" s="762"/>
      <c r="AS101" s="762"/>
      <c r="AT101" s="762"/>
      <c r="AU101" s="762"/>
      <c r="AV101" s="629"/>
      <c r="AW101" s="629"/>
      <c r="AX101" s="756"/>
    </row>
    <row r="102" spans="1:50" ht="18" customHeight="1" x14ac:dyDescent="0.25">
      <c r="A102" s="302">
        <f>IF('Table 3-A| Emission Units'!$A160=0,0,'Table 3-A| Emission Units'!A160&amp;"-"&amp;'Table 3-A| Emission Units'!B160)</f>
        <v>0</v>
      </c>
      <c r="B102" s="303">
        <f>'Table 3-A| Emission Units'!$C160</f>
        <v>0</v>
      </c>
      <c r="C102" s="304"/>
      <c r="D102" s="242"/>
      <c r="E102" s="305">
        <f t="shared" si="156"/>
        <v>0</v>
      </c>
      <c r="F102" s="304"/>
      <c r="G102" s="306"/>
      <c r="H102" s="307"/>
      <c r="I102" s="307"/>
      <c r="J102" s="307"/>
      <c r="K102" s="307"/>
      <c r="L102" s="307"/>
      <c r="M102" s="307"/>
      <c r="N102" s="307"/>
      <c r="O102" s="308"/>
      <c r="S102" s="639"/>
      <c r="T102" s="640"/>
      <c r="U102" s="640"/>
      <c r="V102" s="640"/>
      <c r="W102" s="640"/>
      <c r="X102" s="640"/>
      <c r="Y102" s="640"/>
      <c r="Z102" s="640"/>
      <c r="AA102" s="641"/>
      <c r="AC102" s="639"/>
      <c r="AD102" s="640"/>
      <c r="AE102" s="640"/>
      <c r="AF102" s="640"/>
      <c r="AG102" s="640"/>
      <c r="AH102" s="640"/>
      <c r="AI102" s="640"/>
      <c r="AJ102" s="640"/>
      <c r="AK102" s="641"/>
      <c r="AM102" s="66"/>
      <c r="AN102" s="68"/>
      <c r="AO102" s="762"/>
      <c r="AP102" s="762"/>
      <c r="AQ102" s="762"/>
      <c r="AR102" s="762"/>
      <c r="AS102" s="762"/>
      <c r="AT102" s="762"/>
      <c r="AU102" s="762"/>
      <c r="AV102" s="629"/>
      <c r="AW102" s="629"/>
      <c r="AX102" s="756"/>
    </row>
    <row r="103" spans="1:50" ht="18" customHeight="1" x14ac:dyDescent="0.25">
      <c r="A103" s="302">
        <f>IF('Table 3-A| Emission Units'!$A161=0,0,'Table 3-A| Emission Units'!A161&amp;"-"&amp;'Table 3-A| Emission Units'!B161)</f>
        <v>0</v>
      </c>
      <c r="B103" s="303">
        <f>'Table 3-A| Emission Units'!$C161</f>
        <v>0</v>
      </c>
      <c r="C103" s="304"/>
      <c r="D103" s="242"/>
      <c r="E103" s="305">
        <f t="shared" si="156"/>
        <v>0</v>
      </c>
      <c r="F103" s="304"/>
      <c r="G103" s="306"/>
      <c r="H103" s="307"/>
      <c r="I103" s="307"/>
      <c r="J103" s="307"/>
      <c r="K103" s="307"/>
      <c r="L103" s="307"/>
      <c r="M103" s="307"/>
      <c r="N103" s="307"/>
      <c r="O103" s="308"/>
      <c r="S103" s="639"/>
      <c r="T103" s="640"/>
      <c r="U103" s="640"/>
      <c r="V103" s="640"/>
      <c r="W103" s="640"/>
      <c r="X103" s="640"/>
      <c r="Y103" s="640"/>
      <c r="Z103" s="640"/>
      <c r="AA103" s="641"/>
      <c r="AC103" s="639"/>
      <c r="AD103" s="640"/>
      <c r="AE103" s="640"/>
      <c r="AF103" s="640"/>
      <c r="AG103" s="640"/>
      <c r="AH103" s="640"/>
      <c r="AI103" s="640"/>
      <c r="AJ103" s="640"/>
      <c r="AK103" s="641"/>
      <c r="AM103" s="66"/>
      <c r="AN103" s="68"/>
      <c r="AO103" s="762"/>
      <c r="AP103" s="762"/>
      <c r="AQ103" s="762"/>
      <c r="AR103" s="762"/>
      <c r="AS103" s="762"/>
      <c r="AT103" s="762"/>
      <c r="AU103" s="762"/>
      <c r="AV103" s="629"/>
      <c r="AW103" s="629"/>
      <c r="AX103" s="756"/>
    </row>
    <row r="104" spans="1:50" ht="18" customHeight="1" x14ac:dyDescent="0.25">
      <c r="A104" s="302">
        <f>IF('Table 3-A| Emission Units'!$A162=0,0,'Table 3-A| Emission Units'!A162&amp;"-"&amp;'Table 3-A| Emission Units'!B162)</f>
        <v>0</v>
      </c>
      <c r="B104" s="303">
        <f>'Table 3-A| Emission Units'!$C162</f>
        <v>0</v>
      </c>
      <c r="C104" s="304"/>
      <c r="D104" s="242"/>
      <c r="E104" s="305">
        <f t="shared" si="156"/>
        <v>0</v>
      </c>
      <c r="F104" s="304"/>
      <c r="G104" s="306"/>
      <c r="H104" s="307"/>
      <c r="I104" s="307"/>
      <c r="J104" s="307"/>
      <c r="K104" s="307"/>
      <c r="L104" s="307"/>
      <c r="M104" s="307"/>
      <c r="N104" s="307"/>
      <c r="O104" s="308"/>
      <c r="S104" s="639"/>
      <c r="T104" s="640"/>
      <c r="U104" s="640"/>
      <c r="V104" s="640"/>
      <c r="W104" s="640"/>
      <c r="X104" s="640"/>
      <c r="Y104" s="640"/>
      <c r="Z104" s="640"/>
      <c r="AA104" s="641"/>
      <c r="AC104" s="639"/>
      <c r="AD104" s="640"/>
      <c r="AE104" s="640"/>
      <c r="AF104" s="640"/>
      <c r="AG104" s="640"/>
      <c r="AH104" s="640"/>
      <c r="AI104" s="640"/>
      <c r="AJ104" s="640"/>
      <c r="AK104" s="641"/>
      <c r="AM104" s="66"/>
      <c r="AN104" s="68"/>
      <c r="AO104" s="762"/>
      <c r="AP104" s="762"/>
      <c r="AQ104" s="762"/>
      <c r="AR104" s="762"/>
      <c r="AS104" s="762"/>
      <c r="AT104" s="762"/>
      <c r="AU104" s="762"/>
      <c r="AV104" s="629"/>
      <c r="AW104" s="629"/>
      <c r="AX104" s="756"/>
    </row>
    <row r="105" spans="1:50" ht="18" customHeight="1" x14ac:dyDescent="0.25">
      <c r="A105" s="302">
        <f>IF('Table 3-A| Emission Units'!$A163=0,0,'Table 3-A| Emission Units'!A163&amp;"-"&amp;'Table 3-A| Emission Units'!B163)</f>
        <v>0</v>
      </c>
      <c r="B105" s="303">
        <f>'Table 3-A| Emission Units'!$C163</f>
        <v>0</v>
      </c>
      <c r="C105" s="304"/>
      <c r="D105" s="242"/>
      <c r="E105" s="305">
        <f t="shared" si="156"/>
        <v>0</v>
      </c>
      <c r="F105" s="304"/>
      <c r="G105" s="306"/>
      <c r="H105" s="307"/>
      <c r="I105" s="307"/>
      <c r="J105" s="307"/>
      <c r="K105" s="307"/>
      <c r="L105" s="307"/>
      <c r="M105" s="307"/>
      <c r="N105" s="307"/>
      <c r="O105" s="308"/>
      <c r="S105" s="639"/>
      <c r="T105" s="640"/>
      <c r="U105" s="640"/>
      <c r="V105" s="640"/>
      <c r="W105" s="640"/>
      <c r="X105" s="640"/>
      <c r="Y105" s="640"/>
      <c r="Z105" s="640"/>
      <c r="AA105" s="641"/>
      <c r="AC105" s="639"/>
      <c r="AD105" s="640"/>
      <c r="AE105" s="640"/>
      <c r="AF105" s="640"/>
      <c r="AG105" s="640"/>
      <c r="AH105" s="640"/>
      <c r="AI105" s="640"/>
      <c r="AJ105" s="640"/>
      <c r="AK105" s="641"/>
      <c r="AM105" s="66"/>
      <c r="AN105" s="68"/>
      <c r="AO105" s="762"/>
      <c r="AP105" s="762"/>
      <c r="AQ105" s="762"/>
      <c r="AR105" s="762"/>
      <c r="AS105" s="762"/>
      <c r="AT105" s="762"/>
      <c r="AU105" s="762"/>
      <c r="AV105" s="629"/>
      <c r="AW105" s="629"/>
      <c r="AX105" s="756"/>
    </row>
    <row r="106" spans="1:50" ht="18" customHeight="1" x14ac:dyDescent="0.25">
      <c r="A106" s="302">
        <f>IF('Table 3-A| Emission Units'!$A164=0,0,'Table 3-A| Emission Units'!A164&amp;"-"&amp;'Table 3-A| Emission Units'!B164)</f>
        <v>0</v>
      </c>
      <c r="B106" s="303">
        <f>'Table 3-A| Emission Units'!$C164</f>
        <v>0</v>
      </c>
      <c r="C106" s="304"/>
      <c r="D106" s="242"/>
      <c r="E106" s="305">
        <f t="shared" si="156"/>
        <v>0</v>
      </c>
      <c r="F106" s="304"/>
      <c r="G106" s="306"/>
      <c r="H106" s="307"/>
      <c r="I106" s="307"/>
      <c r="J106" s="307"/>
      <c r="K106" s="307"/>
      <c r="L106" s="307"/>
      <c r="M106" s="307"/>
      <c r="N106" s="307"/>
      <c r="O106" s="308"/>
      <c r="S106" s="639"/>
      <c r="T106" s="640"/>
      <c r="U106" s="640"/>
      <c r="V106" s="640"/>
      <c r="W106" s="640"/>
      <c r="X106" s="640"/>
      <c r="Y106" s="640"/>
      <c r="Z106" s="640"/>
      <c r="AA106" s="641"/>
      <c r="AC106" s="639"/>
      <c r="AD106" s="640"/>
      <c r="AE106" s="640"/>
      <c r="AF106" s="640"/>
      <c r="AG106" s="640"/>
      <c r="AH106" s="640"/>
      <c r="AI106" s="640"/>
      <c r="AJ106" s="640"/>
      <c r="AK106" s="641"/>
      <c r="AM106" s="66"/>
      <c r="AN106" s="68"/>
      <c r="AO106" s="762"/>
      <c r="AP106" s="762"/>
      <c r="AQ106" s="762"/>
      <c r="AR106" s="762"/>
      <c r="AS106" s="762"/>
      <c r="AT106" s="762"/>
      <c r="AU106" s="762"/>
      <c r="AV106" s="629"/>
      <c r="AW106" s="629"/>
      <c r="AX106" s="756"/>
    </row>
    <row r="107" spans="1:50" ht="18" customHeight="1" x14ac:dyDescent="0.25">
      <c r="A107" s="302">
        <f>IF('Table 3-A| Emission Units'!$A165=0,0,'Table 3-A| Emission Units'!A165&amp;"-"&amp;'Table 3-A| Emission Units'!B165)</f>
        <v>0</v>
      </c>
      <c r="B107" s="303">
        <f>'Table 3-A| Emission Units'!$C165</f>
        <v>0</v>
      </c>
      <c r="C107" s="304"/>
      <c r="D107" s="242"/>
      <c r="E107" s="305">
        <f t="shared" si="156"/>
        <v>0</v>
      </c>
      <c r="F107" s="304"/>
      <c r="G107" s="306"/>
      <c r="H107" s="307"/>
      <c r="I107" s="307"/>
      <c r="J107" s="307"/>
      <c r="K107" s="307"/>
      <c r="L107" s="307"/>
      <c r="M107" s="307"/>
      <c r="N107" s="307"/>
      <c r="O107" s="308"/>
      <c r="S107" s="639"/>
      <c r="T107" s="640"/>
      <c r="U107" s="640"/>
      <c r="V107" s="640"/>
      <c r="W107" s="640"/>
      <c r="X107" s="640"/>
      <c r="Y107" s="640"/>
      <c r="Z107" s="640"/>
      <c r="AA107" s="641"/>
      <c r="AC107" s="639"/>
      <c r="AD107" s="640"/>
      <c r="AE107" s="640"/>
      <c r="AF107" s="640"/>
      <c r="AG107" s="640"/>
      <c r="AH107" s="640"/>
      <c r="AI107" s="640"/>
      <c r="AJ107" s="640"/>
      <c r="AK107" s="641"/>
      <c r="AM107" s="66"/>
      <c r="AN107" s="68"/>
      <c r="AO107" s="762"/>
      <c r="AP107" s="762"/>
      <c r="AQ107" s="762"/>
      <c r="AR107" s="762"/>
      <c r="AS107" s="762"/>
      <c r="AT107" s="762"/>
      <c r="AU107" s="762"/>
      <c r="AV107" s="629"/>
      <c r="AW107" s="629"/>
      <c r="AX107" s="756"/>
    </row>
    <row r="108" spans="1:50" ht="18" customHeight="1" thickBot="1" x14ac:dyDescent="0.3">
      <c r="A108" s="664">
        <f>IF('Table 3-A| Emission Units'!$A166=0,0,'Table 3-A| Emission Units'!A166&amp;"-"&amp;'Table 3-A| Emission Units'!B166)</f>
        <v>0</v>
      </c>
      <c r="B108" s="665">
        <f>'Table 3-A| Emission Units'!$C166</f>
        <v>0</v>
      </c>
      <c r="C108" s="666"/>
      <c r="D108" s="667"/>
      <c r="E108" s="826">
        <f t="shared" si="156"/>
        <v>0</v>
      </c>
      <c r="F108" s="666"/>
      <c r="G108" s="668"/>
      <c r="H108" s="669"/>
      <c r="I108" s="669"/>
      <c r="J108" s="669"/>
      <c r="K108" s="669"/>
      <c r="L108" s="669"/>
      <c r="M108" s="669"/>
      <c r="N108" s="669"/>
      <c r="O108" s="670"/>
      <c r="S108" s="642"/>
      <c r="T108" s="643"/>
      <c r="U108" s="643"/>
      <c r="V108" s="643"/>
      <c r="W108" s="643"/>
      <c r="X108" s="643"/>
      <c r="Y108" s="643"/>
      <c r="Z108" s="643"/>
      <c r="AA108" s="644"/>
      <c r="AC108" s="642"/>
      <c r="AD108" s="643"/>
      <c r="AE108" s="643"/>
      <c r="AF108" s="643"/>
      <c r="AG108" s="643"/>
      <c r="AH108" s="643"/>
      <c r="AI108" s="643"/>
      <c r="AJ108" s="643"/>
      <c r="AK108" s="644"/>
    </row>
    <row r="109" spans="1:50" ht="18" customHeight="1" x14ac:dyDescent="0.25">
      <c r="F109" s="674" t="s">
        <v>2147</v>
      </c>
      <c r="G109" s="663">
        <f ca="1">IFERROR(SUM(G$44:G$108),0)</f>
        <v>0</v>
      </c>
      <c r="H109" s="663">
        <f t="shared" ref="H109:O109" ca="1" si="157">IFERROR(SUM(H$44:H$108),0)</f>
        <v>0</v>
      </c>
      <c r="I109" s="663">
        <f t="shared" ca="1" si="157"/>
        <v>0</v>
      </c>
      <c r="J109" s="663">
        <f t="shared" ca="1" si="157"/>
        <v>0</v>
      </c>
      <c r="K109" s="663">
        <f t="shared" ca="1" si="157"/>
        <v>0</v>
      </c>
      <c r="L109" s="663">
        <f t="shared" ca="1" si="157"/>
        <v>0</v>
      </c>
      <c r="M109" s="663">
        <f t="shared" ca="1" si="157"/>
        <v>0</v>
      </c>
      <c r="N109" s="663">
        <f t="shared" ca="1" si="157"/>
        <v>0</v>
      </c>
      <c r="O109" s="663">
        <f t="shared" ca="1" si="157"/>
        <v>0</v>
      </c>
    </row>
    <row r="110" spans="1:50" ht="18" customHeight="1" x14ac:dyDescent="0.25">
      <c r="F110" s="674"/>
      <c r="G110" s="663"/>
      <c r="H110" s="663"/>
      <c r="I110" s="663"/>
      <c r="J110" s="663"/>
      <c r="K110" s="663"/>
      <c r="L110" s="663"/>
      <c r="M110" s="663"/>
      <c r="N110" s="663"/>
      <c r="O110" s="663"/>
    </row>
    <row r="111" spans="1:50" ht="18" customHeight="1" x14ac:dyDescent="0.25">
      <c r="F111" s="674"/>
      <c r="G111" s="663"/>
      <c r="H111" s="663"/>
      <c r="I111" s="663"/>
      <c r="J111" s="663"/>
      <c r="K111" s="663"/>
      <c r="L111" s="663"/>
      <c r="M111" s="663"/>
      <c r="N111" s="663"/>
      <c r="O111" s="663"/>
    </row>
    <row r="112" spans="1:50" ht="18" customHeight="1" x14ac:dyDescent="0.25">
      <c r="F112" s="674" t="s">
        <v>2146</v>
      </c>
      <c r="G112" s="663">
        <f t="shared" ref="G112:O112" ca="1" si="158">IF((G109/2000)&lt;100,ROUND(G109/2000,3),IF((G109/2000)&lt;1000,ROUND(G109/2000,2),IF((G109/2000)&lt;10000,ROUND(G109/2000,1),ROUND(G109/2000,0))))</f>
        <v>0</v>
      </c>
      <c r="H112" s="663">
        <f t="shared" ca="1" si="158"/>
        <v>0</v>
      </c>
      <c r="I112" s="663">
        <f t="shared" ca="1" si="158"/>
        <v>0</v>
      </c>
      <c r="J112" s="663">
        <f t="shared" ca="1" si="158"/>
        <v>0</v>
      </c>
      <c r="K112" s="663">
        <f t="shared" ca="1" si="158"/>
        <v>0</v>
      </c>
      <c r="L112" s="663">
        <f t="shared" ca="1" si="158"/>
        <v>0</v>
      </c>
      <c r="M112" s="663">
        <f t="shared" ca="1" si="158"/>
        <v>0</v>
      </c>
      <c r="N112" s="663">
        <f t="shared" ca="1" si="158"/>
        <v>0</v>
      </c>
      <c r="O112" s="663">
        <f t="shared" ca="1" si="158"/>
        <v>0</v>
      </c>
    </row>
    <row r="113" spans="6:28" ht="18" customHeight="1" x14ac:dyDescent="0.25">
      <c r="AB113" s="680"/>
    </row>
    <row r="114" spans="6:28" ht="18" customHeight="1" x14ac:dyDescent="0.25">
      <c r="F114" s="547" t="s">
        <v>2140</v>
      </c>
      <c r="G114" s="663">
        <f ca="1">G112</f>
        <v>0</v>
      </c>
      <c r="AB114" s="547"/>
    </row>
    <row r="115" spans="6:28" ht="18" customHeight="1" x14ac:dyDescent="0.25">
      <c r="F115" s="547" t="s">
        <v>2141</v>
      </c>
      <c r="G115" s="663">
        <f ca="1">H112</f>
        <v>0</v>
      </c>
    </row>
    <row r="116" spans="6:28" ht="18" customHeight="1" x14ac:dyDescent="0.25">
      <c r="F116" s="547" t="s">
        <v>3</v>
      </c>
      <c r="G116" s="663">
        <f ca="1">I112</f>
        <v>0</v>
      </c>
    </row>
    <row r="117" spans="6:28" ht="18" customHeight="1" x14ac:dyDescent="0.25">
      <c r="F117" s="547" t="s">
        <v>4</v>
      </c>
      <c r="G117" s="663">
        <f ca="1">J112</f>
        <v>0</v>
      </c>
    </row>
    <row r="118" spans="6:28" ht="18" customHeight="1" x14ac:dyDescent="0.25">
      <c r="F118" s="547" t="s">
        <v>0</v>
      </c>
      <c r="G118" s="663">
        <f ca="1">K112</f>
        <v>0</v>
      </c>
    </row>
    <row r="119" spans="6:28" ht="18" customHeight="1" x14ac:dyDescent="0.25">
      <c r="F119" s="547" t="s">
        <v>5</v>
      </c>
      <c r="G119" s="663">
        <f ca="1">L112</f>
        <v>0</v>
      </c>
    </row>
    <row r="120" spans="6:28" ht="18" customHeight="1" x14ac:dyDescent="0.25">
      <c r="F120" s="547" t="s">
        <v>236</v>
      </c>
      <c r="G120" s="663">
        <f ca="1">N112</f>
        <v>0</v>
      </c>
    </row>
    <row r="121" spans="6:28" ht="18" customHeight="1" x14ac:dyDescent="0.25">
      <c r="F121" s="547" t="s">
        <v>2142</v>
      </c>
      <c r="G121" s="663">
        <f ca="1">M112</f>
        <v>0</v>
      </c>
    </row>
    <row r="122" spans="6:28" ht="18" customHeight="1" x14ac:dyDescent="0.25">
      <c r="F122" s="547"/>
      <c r="G122" s="663"/>
    </row>
    <row r="123" spans="6:28" ht="18" customHeight="1" x14ac:dyDescent="0.25">
      <c r="F123" s="547" t="s">
        <v>2143</v>
      </c>
      <c r="G123" s="663">
        <f>SUM('Table 5-D| MPTE Thresholds'!$B$25)</f>
        <v>0</v>
      </c>
    </row>
    <row r="124" spans="6:28" ht="18" customHeight="1" x14ac:dyDescent="0.25">
      <c r="F124" s="547" t="s">
        <v>2144</v>
      </c>
      <c r="G124" s="663">
        <f ca="1">O112</f>
        <v>0</v>
      </c>
    </row>
    <row r="125" spans="6:28" ht="18" customHeight="1" x14ac:dyDescent="0.25"/>
    <row r="126" spans="6:28" ht="18" customHeight="1" x14ac:dyDescent="0.25"/>
    <row r="127" spans="6:28" ht="18" customHeight="1" x14ac:dyDescent="0.25"/>
    <row r="128" spans="6:28" ht="18" customHeight="1" x14ac:dyDescent="0.25"/>
    <row r="129" spans="30:34" ht="18" customHeight="1" x14ac:dyDescent="0.25"/>
    <row r="130" spans="30:34" ht="18" customHeight="1" x14ac:dyDescent="0.25"/>
    <row r="131" spans="30:34" ht="18" customHeight="1" x14ac:dyDescent="0.25"/>
    <row r="132" spans="30:34" ht="18" customHeight="1" x14ac:dyDescent="0.25"/>
    <row r="133" spans="30:34" ht="18" customHeight="1" x14ac:dyDescent="0.25">
      <c r="AD133" s="125"/>
      <c r="AE133" s="645"/>
      <c r="AF133" s="66"/>
      <c r="AH133" s="125"/>
    </row>
    <row r="134" spans="30:34" ht="18" customHeight="1" x14ac:dyDescent="0.25"/>
    <row r="145" spans="29:29" x14ac:dyDescent="0.25">
      <c r="AC145" s="125"/>
    </row>
  </sheetData>
  <sheetProtection algorithmName="SHA-512" hashValue="7Lb8DKWQ/yo2NVV8kX8ql+YHoL7wS5zYwhxCFaIULUEX+o+YCx/Aal/CnpOggr8d0Tqhmj9nkKNTMTDPxjofEg==" saltValue="6OTqm2lyucrgPkksxgHCBg==" spinCount="100000" sheet="1" objects="1" scenarios="1"/>
  <mergeCells count="166">
    <mergeCell ref="L67:L68"/>
    <mergeCell ref="M67:M68"/>
    <mergeCell ref="N67:N68"/>
    <mergeCell ref="O67:O68"/>
    <mergeCell ref="C65:C66"/>
    <mergeCell ref="D65:D66"/>
    <mergeCell ref="E65:E66"/>
    <mergeCell ref="F65:F66"/>
    <mergeCell ref="G65:G66"/>
    <mergeCell ref="H65:H66"/>
    <mergeCell ref="I65:I66"/>
    <mergeCell ref="C67:C68"/>
    <mergeCell ref="D67:D68"/>
    <mergeCell ref="E67:E68"/>
    <mergeCell ref="F67:F68"/>
    <mergeCell ref="G67:G68"/>
    <mergeCell ref="H67:H68"/>
    <mergeCell ref="I67:I68"/>
    <mergeCell ref="J67:J68"/>
    <mergeCell ref="K67:K68"/>
    <mergeCell ref="F57:F59"/>
    <mergeCell ref="G57:G59"/>
    <mergeCell ref="L65:L66"/>
    <mergeCell ref="M65:M66"/>
    <mergeCell ref="N65:N66"/>
    <mergeCell ref="O65:O66"/>
    <mergeCell ref="A60:O60"/>
    <mergeCell ref="A62:O62"/>
    <mergeCell ref="H57:H59"/>
    <mergeCell ref="I57:I59"/>
    <mergeCell ref="J57:J59"/>
    <mergeCell ref="K57:K59"/>
    <mergeCell ref="C57:C59"/>
    <mergeCell ref="D57:D59"/>
    <mergeCell ref="E57:E59"/>
    <mergeCell ref="N54:N56"/>
    <mergeCell ref="O54:O56"/>
    <mergeCell ref="C51:C53"/>
    <mergeCell ref="D51:D53"/>
    <mergeCell ref="E51:E53"/>
    <mergeCell ref="J65:J66"/>
    <mergeCell ref="K65:K66"/>
    <mergeCell ref="L57:L59"/>
    <mergeCell ref="M57:M59"/>
    <mergeCell ref="N57:N59"/>
    <mergeCell ref="O57:O59"/>
    <mergeCell ref="C63:C64"/>
    <mergeCell ref="D63:D64"/>
    <mergeCell ref="E63:E64"/>
    <mergeCell ref="F63:F64"/>
    <mergeCell ref="G63:G64"/>
    <mergeCell ref="H63:H64"/>
    <mergeCell ref="I63:I64"/>
    <mergeCell ref="J63:J64"/>
    <mergeCell ref="K63:K64"/>
    <mergeCell ref="L63:L64"/>
    <mergeCell ref="M63:M64"/>
    <mergeCell ref="N63:N64"/>
    <mergeCell ref="O63:O64"/>
    <mergeCell ref="C54:C56"/>
    <mergeCell ref="D54:D56"/>
    <mergeCell ref="E54:E56"/>
    <mergeCell ref="F54:F56"/>
    <mergeCell ref="G54:G56"/>
    <mergeCell ref="H54:H56"/>
    <mergeCell ref="I54:I56"/>
    <mergeCell ref="J54:J56"/>
    <mergeCell ref="K54:K56"/>
    <mergeCell ref="L54:L56"/>
    <mergeCell ref="M54:M56"/>
    <mergeCell ref="L48:L50"/>
    <mergeCell ref="M48:M50"/>
    <mergeCell ref="F51:F53"/>
    <mergeCell ref="G51:G53"/>
    <mergeCell ref="H51:H53"/>
    <mergeCell ref="I51:I53"/>
    <mergeCell ref="J51:J53"/>
    <mergeCell ref="K51:K53"/>
    <mergeCell ref="N51:N53"/>
    <mergeCell ref="O51:O53"/>
    <mergeCell ref="K45:K47"/>
    <mergeCell ref="L45:L47"/>
    <mergeCell ref="M45:M47"/>
    <mergeCell ref="E48:E50"/>
    <mergeCell ref="F48:F50"/>
    <mergeCell ref="G48:G50"/>
    <mergeCell ref="H48:H50"/>
    <mergeCell ref="I48:I50"/>
    <mergeCell ref="J48:J50"/>
    <mergeCell ref="K48:K50"/>
    <mergeCell ref="N48:N50"/>
    <mergeCell ref="O48:O50"/>
    <mergeCell ref="L51:L53"/>
    <mergeCell ref="M51:M53"/>
    <mergeCell ref="A69:O69"/>
    <mergeCell ref="A75:O75"/>
    <mergeCell ref="AC42:AK42"/>
    <mergeCell ref="AC44:AK44"/>
    <mergeCell ref="AM42:AX42"/>
    <mergeCell ref="AC60:AK60"/>
    <mergeCell ref="AC62:AK62"/>
    <mergeCell ref="AC69:AK69"/>
    <mergeCell ref="AC75:AK75"/>
    <mergeCell ref="S60:AA60"/>
    <mergeCell ref="S62:AA62"/>
    <mergeCell ref="S69:AA69"/>
    <mergeCell ref="C45:C47"/>
    <mergeCell ref="D45:D47"/>
    <mergeCell ref="E45:E47"/>
    <mergeCell ref="F45:F47"/>
    <mergeCell ref="G45:G47"/>
    <mergeCell ref="H45:H47"/>
    <mergeCell ref="I45:I47"/>
    <mergeCell ref="J45:J47"/>
    <mergeCell ref="P75:R80"/>
    <mergeCell ref="N45:N47"/>
    <mergeCell ref="C48:C50"/>
    <mergeCell ref="D48:D50"/>
    <mergeCell ref="AY45:BE45"/>
    <mergeCell ref="AY46:BE46"/>
    <mergeCell ref="A44:O44"/>
    <mergeCell ref="S44:AA44"/>
    <mergeCell ref="A30:D30"/>
    <mergeCell ref="A36:F36"/>
    <mergeCell ref="I36:M36"/>
    <mergeCell ref="I35:M35"/>
    <mergeCell ref="I34:M34"/>
    <mergeCell ref="I33:M33"/>
    <mergeCell ref="I32:M32"/>
    <mergeCell ref="I31:M31"/>
    <mergeCell ref="I30:M30"/>
    <mergeCell ref="A41:O41"/>
    <mergeCell ref="S42:AA42"/>
    <mergeCell ref="N32:O32"/>
    <mergeCell ref="N33:O33"/>
    <mergeCell ref="N34:O34"/>
    <mergeCell ref="N35:O35"/>
    <mergeCell ref="O45:O47"/>
    <mergeCell ref="A42:M42"/>
    <mergeCell ref="A38:O38"/>
    <mergeCell ref="A40:O40"/>
    <mergeCell ref="A39:O39"/>
    <mergeCell ref="A1:S1"/>
    <mergeCell ref="B7:O7"/>
    <mergeCell ref="A2:O2"/>
    <mergeCell ref="B6:O6"/>
    <mergeCell ref="A3:O3"/>
    <mergeCell ref="A37:O37"/>
    <mergeCell ref="J8:L8"/>
    <mergeCell ref="A27:O27"/>
    <mergeCell ref="A18:O18"/>
    <mergeCell ref="N36:O36"/>
    <mergeCell ref="A4:O4"/>
    <mergeCell ref="A9:O9"/>
    <mergeCell ref="A5:O5"/>
    <mergeCell ref="G36:H36"/>
    <mergeCell ref="M8:O8"/>
    <mergeCell ref="B8:C8"/>
    <mergeCell ref="D8:F8"/>
    <mergeCell ref="G8:I8"/>
    <mergeCell ref="N31:O31"/>
    <mergeCell ref="A28:O28"/>
    <mergeCell ref="E30:F30"/>
    <mergeCell ref="N30:O30"/>
    <mergeCell ref="A11:O11"/>
    <mergeCell ref="A20:O20"/>
  </mergeCells>
  <conditionalFormatting sqref="A45:B59 A60:O62 A63:B68 A69:O108">
    <cfRule type="expression" dxfId="148" priority="5">
      <formula>OR($A45=0,$B45=0)</formula>
    </cfRule>
  </conditionalFormatting>
  <conditionalFormatting sqref="A44:O108">
    <cfRule type="cellIs" dxfId="147" priority="163" stopIfTrue="1" operator="equal">
      <formula>0</formula>
    </cfRule>
  </conditionalFormatting>
  <conditionalFormatting sqref="A76:O108">
    <cfRule type="expression" dxfId="146" priority="2">
      <formula>AND(NOT($A76=0),ISBLANK(A76))</formula>
    </cfRule>
  </conditionalFormatting>
  <conditionalFormatting sqref="B76:B108">
    <cfRule type="cellIs" dxfId="145" priority="171" operator="greaterThanOrEqual">
      <formula>99999999</formula>
    </cfRule>
  </conditionalFormatting>
  <conditionalFormatting sqref="C76:C108 G76:O108">
    <cfRule type="expression" dxfId="144" priority="1">
      <formula>ISTEXT(C76)</formula>
    </cfRule>
  </conditionalFormatting>
  <conditionalFormatting sqref="C45:O59 C61:O61 C63:O68 C70:O74 C76:O108">
    <cfRule type="cellIs" dxfId="143" priority="157" operator="greaterThanOrEqual">
      <formula>1000</formula>
    </cfRule>
    <cfRule type="cellIs" dxfId="142" priority="164" operator="lessThan">
      <formula>1</formula>
    </cfRule>
  </conditionalFormatting>
  <conditionalFormatting sqref="C45:O59">
    <cfRule type="expression" dxfId="141" priority="3">
      <formula>AND($B45=0,$B46=0,$B47=0)</formula>
    </cfRule>
  </conditionalFormatting>
  <conditionalFormatting sqref="C63:O68">
    <cfRule type="expression" dxfId="140" priority="4">
      <formula>AND($A63=0,$A64=0)</formula>
    </cfRule>
  </conditionalFormatting>
  <conditionalFormatting sqref="E21:F26">
    <cfRule type="cellIs" dxfId="139" priority="184" operator="greaterThanOrEqual">
      <formula>1000000</formula>
    </cfRule>
    <cfRule type="cellIs" dxfId="138" priority="185" operator="greaterThanOrEqual">
      <formula>1000</formula>
    </cfRule>
  </conditionalFormatting>
  <conditionalFormatting sqref="E45:O59 E61:O61 E63:O68 E70:O74 E76:O108">
    <cfRule type="cellIs" dxfId="137" priority="151" operator="greaterThan">
      <formula>99999999</formula>
    </cfRule>
  </conditionalFormatting>
  <conditionalFormatting sqref="F12:F17">
    <cfRule type="cellIs" dxfId="136" priority="273" operator="greaterThanOrEqual">
      <formula>1000000</formula>
    </cfRule>
    <cfRule type="cellIs" dxfId="135" priority="274" operator="greaterThanOrEqual">
      <formula>1000</formula>
    </cfRule>
  </conditionalFormatting>
  <conditionalFormatting sqref="G12:O17">
    <cfRule type="cellIs" dxfId="134" priority="64" operator="equal">
      <formula>0</formula>
    </cfRule>
  </conditionalFormatting>
  <conditionalFormatting sqref="G21:O26">
    <cfRule type="cellIs" dxfId="133" priority="191" stopIfTrue="1" operator="greaterThanOrEqual">
      <formula>1000000</formula>
    </cfRule>
    <cfRule type="cellIs" dxfId="132" priority="192" stopIfTrue="1" operator="greaterThanOrEqual">
      <formula>1000</formula>
    </cfRule>
    <cfRule type="cellIs" dxfId="131" priority="193" stopIfTrue="1" operator="equal">
      <formula>0</formula>
    </cfRule>
  </conditionalFormatting>
  <conditionalFormatting sqref="G109:O112">
    <cfRule type="cellIs" dxfId="130" priority="45" operator="lessThan">
      <formula>100</formula>
    </cfRule>
    <cfRule type="cellIs" dxfId="129" priority="46" operator="lessThan">
      <formula>1000</formula>
    </cfRule>
    <cfRule type="cellIs" dxfId="128" priority="47" operator="lessThan">
      <formula>10000</formula>
    </cfRule>
    <cfRule type="cellIs" dxfId="127" priority="48" operator="greaterThanOrEqual">
      <formula>10000</formula>
    </cfRule>
  </conditionalFormatting>
  <conditionalFormatting sqref="N30:O36">
    <cfRule type="cellIs" dxfId="126" priority="63" operator="equal">
      <formula>0</formula>
    </cfRule>
  </conditionalFormatting>
  <conditionalFormatting sqref="AU44:AU107">
    <cfRule type="cellIs" dxfId="125" priority="25" operator="greaterThan">
      <formula>1000</formula>
    </cfRule>
  </conditionalFormatting>
  <dataValidations disablePrompts="1" count="1">
    <dataValidation type="list" errorStyle="warning" allowBlank="1" showInputMessage="1" showErrorMessage="1" errorTitle="Error" error="You must select an emission factor source or calculation method." prompt="Select the source of the emission factor or the calculation method used to determine emissions for this emission unit." sqref="F76:F108" xr:uid="{00000000-0002-0000-0900-000000000000}">
      <formula1>$T$30:$T$34</formula1>
    </dataValidation>
  </dataValidations>
  <hyperlinks>
    <hyperlink ref="AU43" location="'Table 5-A| Criteria MPTE'!B10" display="'Table 5-A| Criteria MPTE'!B10" xr:uid="{00000000-0004-0000-0900-000000000000}"/>
    <hyperlink ref="Y75" location="'Table 5-A| Criteria MPTE'!B10" display="'Table 5-A| Criteria MPTE'!B10" xr:uid="{00000000-0004-0000-0900-000001000000}"/>
  </hyperlinks>
  <printOptions horizontalCentered="1"/>
  <pageMargins left="0.5" right="0.5" top="0.5" bottom="0.5" header="0.3" footer="0.3"/>
  <pageSetup scale="65" fitToHeight="3" orientation="landscape" r:id="rId1"/>
  <headerFooter>
    <oddFooter>&amp;L&amp;A&amp;RPage &amp;P</oddFooter>
  </headerFooter>
  <rowBreaks count="1" manualBreakCount="1">
    <brk id="74" max="14" man="1"/>
  </rowBreaks>
  <ignoredErrors>
    <ignoredError sqref="S64:AA66 S67:AB68"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tabColor rgb="FF002060"/>
    <pageSetUpPr fitToPage="1"/>
  </sheetPr>
  <dimension ref="A1:N63"/>
  <sheetViews>
    <sheetView showGridLines="0" zoomScaleNormal="100" workbookViewId="0">
      <selection sqref="A1:K1"/>
    </sheetView>
  </sheetViews>
  <sheetFormatPr defaultRowHeight="14.25" x14ac:dyDescent="0.2"/>
  <cols>
    <col min="1" max="1" width="30.7109375" style="100" customWidth="1"/>
    <col min="2" max="2" width="21.7109375" style="100" customWidth="1"/>
    <col min="3" max="3" width="13.7109375" style="100" customWidth="1"/>
    <col min="4" max="4" width="19.7109375" style="100" customWidth="1"/>
    <col min="5" max="6" width="12.7109375" style="100" customWidth="1"/>
    <col min="7" max="8" width="11.7109375" style="100" customWidth="1"/>
    <col min="9" max="9" width="13.28515625" style="100" customWidth="1"/>
    <col min="10" max="10" width="13.28515625" style="114" customWidth="1"/>
    <col min="11" max="11" width="13.28515625" style="100" customWidth="1"/>
    <col min="12" max="14" width="9.140625" style="100" customWidth="1"/>
    <col min="15" max="16384" width="9.140625" style="100"/>
  </cols>
  <sheetData>
    <row r="1" spans="1:14" s="69" customFormat="1" ht="26.25" customHeight="1" thickBot="1" x14ac:dyDescent="0.3">
      <c r="A1" s="1255" t="s">
        <v>2283</v>
      </c>
      <c r="B1" s="1255"/>
      <c r="C1" s="1255"/>
      <c r="D1" s="1255"/>
      <c r="E1" s="1255"/>
      <c r="F1" s="1255"/>
      <c r="G1" s="1255"/>
      <c r="H1" s="1255"/>
      <c r="I1" s="1255"/>
      <c r="J1" s="1255"/>
      <c r="K1" s="1255"/>
      <c r="L1" s="79"/>
      <c r="M1" s="79"/>
      <c r="N1" s="79"/>
    </row>
    <row r="2" spans="1:14" s="160" customFormat="1" ht="35.1" customHeight="1" x14ac:dyDescent="0.25">
      <c r="A2" s="1310" t="s">
        <v>2282</v>
      </c>
      <c r="B2" s="1310"/>
      <c r="C2" s="1310"/>
      <c r="D2" s="1310"/>
      <c r="E2" s="1310"/>
      <c r="F2" s="1310"/>
      <c r="G2" s="1310"/>
      <c r="H2" s="1310"/>
      <c r="I2" s="1310"/>
      <c r="J2" s="1310"/>
      <c r="K2" s="1310"/>
      <c r="L2" s="163"/>
      <c r="M2" s="163"/>
    </row>
    <row r="3" spans="1:14" s="160" customFormat="1" ht="20.100000000000001" customHeight="1" x14ac:dyDescent="0.25">
      <c r="A3" s="161">
        <v>1</v>
      </c>
      <c r="B3" s="1392" t="s">
        <v>1513</v>
      </c>
      <c r="C3" s="1392"/>
      <c r="D3" s="1392"/>
      <c r="E3" s="1392"/>
      <c r="F3" s="1392"/>
      <c r="G3" s="1392"/>
      <c r="H3" s="1392"/>
      <c r="I3" s="1392"/>
      <c r="J3" s="1392"/>
      <c r="K3" s="1392"/>
      <c r="L3" s="164"/>
      <c r="M3" s="164"/>
    </row>
    <row r="4" spans="1:14" s="160" customFormat="1" ht="20.100000000000001" customHeight="1" x14ac:dyDescent="0.25">
      <c r="A4" s="161">
        <v>2</v>
      </c>
      <c r="B4" s="1392" t="s">
        <v>1514</v>
      </c>
      <c r="C4" s="1392"/>
      <c r="D4" s="1392"/>
      <c r="E4" s="1392"/>
      <c r="F4" s="1392"/>
      <c r="G4" s="1392"/>
      <c r="H4" s="1392"/>
      <c r="I4" s="1392"/>
      <c r="J4" s="1392"/>
      <c r="K4" s="1392"/>
      <c r="L4" s="164"/>
      <c r="M4" s="164"/>
    </row>
    <row r="5" spans="1:14" s="160" customFormat="1" ht="35.1" customHeight="1" x14ac:dyDescent="0.25">
      <c r="A5" s="161">
        <v>3</v>
      </c>
      <c r="B5" s="1392" t="s">
        <v>1851</v>
      </c>
      <c r="C5" s="1392"/>
      <c r="D5" s="1392"/>
      <c r="E5" s="1392"/>
      <c r="F5" s="1392"/>
      <c r="G5" s="1392"/>
      <c r="H5" s="1392"/>
      <c r="I5" s="1392"/>
      <c r="J5" s="1392"/>
      <c r="K5" s="1392"/>
      <c r="L5" s="164"/>
      <c r="M5" s="164"/>
    </row>
    <row r="6" spans="1:14" s="160" customFormat="1" ht="20.100000000000001" customHeight="1" x14ac:dyDescent="0.25">
      <c r="A6" s="161">
        <v>4</v>
      </c>
      <c r="B6" s="1392" t="s">
        <v>1852</v>
      </c>
      <c r="C6" s="1392"/>
      <c r="D6" s="1392"/>
      <c r="E6" s="1392"/>
      <c r="F6" s="1392"/>
      <c r="G6" s="1392"/>
      <c r="H6" s="1392"/>
      <c r="I6" s="1392"/>
      <c r="J6" s="1392"/>
      <c r="K6" s="1392"/>
      <c r="L6" s="164"/>
      <c r="M6" s="164"/>
    </row>
    <row r="7" spans="1:14" s="160" customFormat="1" ht="35.1" customHeight="1" x14ac:dyDescent="0.25">
      <c r="A7" s="161">
        <v>5</v>
      </c>
      <c r="B7" s="1392" t="s">
        <v>1853</v>
      </c>
      <c r="C7" s="1392"/>
      <c r="D7" s="1392"/>
      <c r="E7" s="1392"/>
      <c r="F7" s="1392"/>
      <c r="G7" s="1392"/>
      <c r="H7" s="1392"/>
      <c r="I7" s="1392"/>
      <c r="J7" s="1392"/>
      <c r="K7" s="1392"/>
      <c r="L7" s="164"/>
      <c r="M7" s="164"/>
    </row>
    <row r="8" spans="1:14" s="160" customFormat="1" ht="35.1" customHeight="1" x14ac:dyDescent="0.25">
      <c r="A8" s="161">
        <v>6</v>
      </c>
      <c r="B8" s="1392" t="s">
        <v>1526</v>
      </c>
      <c r="C8" s="1392"/>
      <c r="D8" s="1392"/>
      <c r="E8" s="1392"/>
      <c r="F8" s="1392"/>
      <c r="G8" s="1392"/>
      <c r="H8" s="1392"/>
      <c r="I8" s="1392"/>
      <c r="J8" s="1392"/>
      <c r="K8" s="1392"/>
      <c r="L8" s="164"/>
      <c r="M8" s="164"/>
    </row>
    <row r="9" spans="1:14" s="160" customFormat="1" ht="20.100000000000001" customHeight="1" x14ac:dyDescent="0.25">
      <c r="A9" s="161">
        <v>7</v>
      </c>
      <c r="B9" s="1392" t="s">
        <v>1515</v>
      </c>
      <c r="C9" s="1392"/>
      <c r="D9" s="1392"/>
      <c r="E9" s="1392"/>
      <c r="F9" s="1392"/>
      <c r="G9" s="1392"/>
      <c r="H9" s="1392"/>
      <c r="I9" s="1392"/>
      <c r="J9" s="1392"/>
      <c r="K9" s="1392"/>
      <c r="L9" s="164"/>
      <c r="M9" s="164"/>
    </row>
    <row r="10" spans="1:14" s="160" customFormat="1" ht="35.1" customHeight="1" x14ac:dyDescent="0.25">
      <c r="A10" s="161">
        <v>8</v>
      </c>
      <c r="B10" s="1392" t="s">
        <v>1768</v>
      </c>
      <c r="C10" s="1392"/>
      <c r="D10" s="1392"/>
      <c r="E10" s="1392"/>
      <c r="F10" s="1392"/>
      <c r="G10" s="1392"/>
      <c r="H10" s="1392"/>
      <c r="I10" s="1392"/>
      <c r="J10" s="1392"/>
      <c r="K10" s="1392"/>
      <c r="L10" s="164"/>
      <c r="M10" s="164"/>
    </row>
    <row r="11" spans="1:14" s="68" customFormat="1" ht="9" customHeight="1" thickBot="1" x14ac:dyDescent="0.3">
      <c r="A11" s="78"/>
      <c r="B11" s="78"/>
      <c r="C11" s="78"/>
      <c r="D11" s="78"/>
      <c r="E11" s="78"/>
      <c r="F11" s="78"/>
      <c r="G11" s="78"/>
      <c r="H11" s="78"/>
      <c r="I11" s="78"/>
      <c r="J11" s="78"/>
      <c r="K11" s="78"/>
      <c r="L11" s="78"/>
      <c r="M11" s="78"/>
    </row>
    <row r="12" spans="1:14" ht="30" customHeight="1" x14ac:dyDescent="0.2">
      <c r="A12" s="1388" t="s">
        <v>6</v>
      </c>
      <c r="B12" s="1390" t="s">
        <v>7</v>
      </c>
      <c r="C12" s="1386" t="s">
        <v>1850</v>
      </c>
      <c r="D12" s="1386" t="s">
        <v>8</v>
      </c>
      <c r="E12" s="494" t="s">
        <v>68</v>
      </c>
      <c r="F12" s="493" t="s">
        <v>9</v>
      </c>
      <c r="G12" s="1384" t="s">
        <v>19</v>
      </c>
      <c r="H12" s="1385"/>
      <c r="I12" s="492" t="s">
        <v>11</v>
      </c>
      <c r="J12" s="497" t="s">
        <v>12</v>
      </c>
      <c r="K12" s="99" t="s">
        <v>13</v>
      </c>
    </row>
    <row r="13" spans="1:14" ht="15" customHeight="1" thickBot="1" x14ac:dyDescent="0.25">
      <c r="A13" s="1389"/>
      <c r="B13" s="1391"/>
      <c r="C13" s="1387"/>
      <c r="D13" s="1387"/>
      <c r="E13" s="101" t="s">
        <v>14</v>
      </c>
      <c r="F13" s="102" t="s">
        <v>10</v>
      </c>
      <c r="G13" s="103" t="s">
        <v>16</v>
      </c>
      <c r="H13" s="101" t="s">
        <v>10</v>
      </c>
      <c r="I13" s="102" t="s">
        <v>15</v>
      </c>
      <c r="J13" s="104" t="s">
        <v>17</v>
      </c>
      <c r="K13" s="105" t="s">
        <v>15</v>
      </c>
    </row>
    <row r="14" spans="1:14" s="106" customFormat="1" ht="18" customHeight="1" x14ac:dyDescent="0.2">
      <c r="A14" s="324" t="s">
        <v>1516</v>
      </c>
      <c r="B14" s="325" t="s">
        <v>1517</v>
      </c>
      <c r="C14" s="501" t="s">
        <v>2083</v>
      </c>
      <c r="D14" s="325" t="s">
        <v>1518</v>
      </c>
      <c r="E14" s="326">
        <v>1000</v>
      </c>
      <c r="F14" s="327">
        <v>6.5</v>
      </c>
      <c r="G14" s="328">
        <v>0.25</v>
      </c>
      <c r="H14" s="503"/>
      <c r="I14" s="329">
        <f>IF(AND(ISBLANK(A14),ISBLANK(B14),ISBLANK(D14),ISNUMBER(E14)),"Missing Material Data",IF(AND(ISBLANK(A14),ISBLANK(B14),ISBLANK(D14)),"",IF(ISBLANK(A14),"Enter Material Name",IF(ISBLANK(B14),"Enter Manufacturer",IF(ISBLANK(D14),"Enter Purpose",IF(ISBLANK(E14),"Enter Throughput",IF(ISBLANK(F14),"Enter Density",IF(AND(NOT(ISBLANK(G14)),NOT(ISBLANK(H14))),"VOC Content Error",IF(AND(ISNUMBER(E14),ISNUMBER(F14),OR(ISNUMBER(G14),ISNUMBER(H14))),IF(G14&gt;0,E14*F14*G14,E14*H14),"Enter VOC Content")))))))))</f>
        <v>1625</v>
      </c>
      <c r="J14" s="330">
        <v>1</v>
      </c>
      <c r="K14" s="331">
        <f>IF(I14="","",IF(NOT(ISTEXT(I14)),IF(ISBLANK(J14),"Enter % Release",J14*I14),""))</f>
        <v>1625</v>
      </c>
      <c r="L14" s="100"/>
      <c r="M14" s="100"/>
      <c r="N14" s="100"/>
    </row>
    <row r="15" spans="1:14" s="106" customFormat="1" ht="18" customHeight="1" x14ac:dyDescent="0.2">
      <c r="A15" s="332" t="s">
        <v>1520</v>
      </c>
      <c r="B15" s="333" t="s">
        <v>1521</v>
      </c>
      <c r="C15" s="502" t="s">
        <v>2084</v>
      </c>
      <c r="D15" s="333" t="s">
        <v>1519</v>
      </c>
      <c r="E15" s="334">
        <v>5000</v>
      </c>
      <c r="F15" s="335">
        <v>7.4</v>
      </c>
      <c r="G15" s="504"/>
      <c r="H15" s="336">
        <v>3</v>
      </c>
      <c r="I15" s="337">
        <f>IF(AND(ISBLANK(A15),ISBLANK(B15),ISBLANK(D15),ISNUMBER(E15)),"Missing Material Data",IF(AND(ISBLANK(A15),ISBLANK(B15),ISBLANK(D15)),"",IF(ISBLANK(A15),"Enter Material Name",IF(ISBLANK(B15),"Enter Manufacturer",IF(ISBLANK(D15),"Enter Purpose",IF(ISBLANK(E15),"Enter Throughput",IF(ISBLANK(F15),"Enter Density",IF(AND(NOT(ISBLANK(G15)),NOT(ISBLANK(H15))),"VOC Content Error",IF(AND(ISNUMBER(E15),ISNUMBER(F15),OR(ISNUMBER(G15),ISNUMBER(H15))),IF(G15&gt;0,E15*F15*G15,E15*H15),"Enter VOC Content")))))))))</f>
        <v>15000</v>
      </c>
      <c r="J15" s="338">
        <v>1</v>
      </c>
      <c r="K15" s="339">
        <f>IF(I15="","",IF(NOT(ISTEXT(I15)),IF(ISBLANK(J15),"Enter % Release",J15*I15),""))</f>
        <v>15000</v>
      </c>
      <c r="L15" s="100"/>
      <c r="M15" s="100"/>
      <c r="N15" s="100"/>
    </row>
    <row r="16" spans="1:14" s="68" customFormat="1" ht="9" customHeight="1" thickBot="1" x14ac:dyDescent="0.3">
      <c r="A16" s="78"/>
      <c r="B16" s="78"/>
      <c r="C16" s="78"/>
      <c r="D16" s="78"/>
      <c r="E16" s="78"/>
      <c r="F16" s="78"/>
      <c r="G16" s="78"/>
      <c r="H16" s="78"/>
      <c r="I16" s="78"/>
      <c r="J16" s="78"/>
      <c r="K16" s="78"/>
      <c r="L16" s="78"/>
      <c r="M16" s="78"/>
    </row>
    <row r="17" spans="1:14" s="68" customFormat="1" ht="27.75" customHeight="1" thickBot="1" x14ac:dyDescent="0.3">
      <c r="A17" s="1241" t="s">
        <v>1443</v>
      </c>
      <c r="B17" s="1211"/>
      <c r="C17" s="1211"/>
      <c r="D17" s="1211"/>
      <c r="E17" s="1211"/>
      <c r="F17" s="1211"/>
      <c r="G17" s="1211"/>
      <c r="H17" s="1211"/>
      <c r="I17" s="1211"/>
      <c r="J17" s="1211"/>
      <c r="K17" s="1242"/>
    </row>
    <row r="18" spans="1:14" s="68" customFormat="1" ht="9" customHeight="1" thickBot="1" x14ac:dyDescent="0.3">
      <c r="A18" s="78"/>
      <c r="B18" s="78"/>
      <c r="C18" s="78"/>
      <c r="D18" s="78"/>
      <c r="E18" s="78"/>
      <c r="F18" s="78"/>
      <c r="G18" s="78"/>
      <c r="H18" s="78"/>
      <c r="I18" s="78"/>
      <c r="J18" s="78"/>
      <c r="K18" s="78"/>
      <c r="L18" s="78"/>
      <c r="M18" s="78"/>
    </row>
    <row r="19" spans="1:14" s="68" customFormat="1" ht="18" customHeight="1" thickBot="1" x14ac:dyDescent="0.3">
      <c r="A19" s="489" t="s">
        <v>1525</v>
      </c>
      <c r="B19" s="119"/>
      <c r="C19" s="68" t="s">
        <v>1530</v>
      </c>
      <c r="D19" s="78"/>
      <c r="E19" s="78"/>
      <c r="F19" s="78"/>
      <c r="H19" s="489" t="s">
        <v>1527</v>
      </c>
      <c r="I19" s="490"/>
      <c r="J19" s="118">
        <f>B19*8.338</f>
        <v>0</v>
      </c>
    </row>
    <row r="20" spans="1:14" s="68" customFormat="1" ht="18" customHeight="1" thickBot="1" x14ac:dyDescent="0.3">
      <c r="A20" s="489" t="s">
        <v>1528</v>
      </c>
      <c r="B20" s="119"/>
      <c r="C20" s="68" t="s">
        <v>1531</v>
      </c>
      <c r="D20" s="78"/>
      <c r="E20" s="119"/>
      <c r="F20" s="68" t="s">
        <v>1529</v>
      </c>
      <c r="H20" s="489" t="s">
        <v>1532</v>
      </c>
      <c r="I20" s="490"/>
      <c r="J20" s="118">
        <f>IFERROR(B20/E20,0)</f>
        <v>0</v>
      </c>
    </row>
    <row r="21" spans="1:14" s="68" customFormat="1" ht="18" customHeight="1" thickBot="1" x14ac:dyDescent="0.3">
      <c r="A21" s="489" t="s">
        <v>1533</v>
      </c>
      <c r="B21" s="120"/>
      <c r="C21" s="68" t="s">
        <v>1534</v>
      </c>
      <c r="D21" s="78"/>
      <c r="E21" s="119"/>
      <c r="F21" s="68" t="s">
        <v>1535</v>
      </c>
      <c r="H21" s="489" t="s">
        <v>1532</v>
      </c>
      <c r="I21" s="490"/>
      <c r="J21" s="118">
        <f>B21*E21*0.0078125</f>
        <v>0</v>
      </c>
    </row>
    <row r="22" spans="1:14" s="68" customFormat="1" ht="35.1" customHeight="1" thickBot="1" x14ac:dyDescent="0.3">
      <c r="A22" s="1277"/>
      <c r="B22" s="1277"/>
      <c r="C22" s="1277"/>
      <c r="D22" s="1277"/>
      <c r="E22" s="1277"/>
      <c r="F22" s="1277"/>
      <c r="G22" s="1277"/>
      <c r="H22" s="1277"/>
      <c r="I22" s="1277"/>
      <c r="J22" s="1277"/>
      <c r="K22" s="1277"/>
      <c r="L22" s="85"/>
      <c r="M22" s="85"/>
      <c r="N22" s="85"/>
    </row>
    <row r="23" spans="1:14" s="77" customFormat="1" ht="19.5" thickBot="1" x14ac:dyDescent="0.3">
      <c r="A23" s="1211" t="s">
        <v>1422</v>
      </c>
      <c r="B23" s="1211"/>
      <c r="C23" s="1211"/>
      <c r="D23" s="1211"/>
      <c r="E23" s="1211"/>
      <c r="F23" s="1211"/>
      <c r="G23" s="1211"/>
      <c r="H23" s="1211"/>
      <c r="I23" s="1211"/>
      <c r="J23" s="1211"/>
      <c r="K23" s="1211"/>
      <c r="L23" s="90"/>
      <c r="M23" s="90"/>
      <c r="N23" s="90"/>
    </row>
    <row r="24" spans="1:14" ht="60" customHeight="1" x14ac:dyDescent="0.2">
      <c r="A24" s="1374"/>
      <c r="B24" s="1374"/>
      <c r="C24" s="1374"/>
      <c r="D24" s="1374"/>
      <c r="E24" s="1374"/>
      <c r="F24" s="1374"/>
      <c r="G24" s="1374"/>
      <c r="H24" s="1374"/>
      <c r="I24" s="1374"/>
      <c r="J24" s="1374"/>
      <c r="K24" s="1374"/>
    </row>
    <row r="25" spans="1:14" ht="24.95" customHeight="1" x14ac:dyDescent="0.2">
      <c r="A25" s="1347" t="s">
        <v>1405</v>
      </c>
      <c r="B25" s="1347"/>
      <c r="C25" s="1347"/>
      <c r="D25" s="1347"/>
      <c r="E25" s="1347"/>
      <c r="F25" s="1347"/>
      <c r="G25" s="1347"/>
      <c r="H25" s="1347"/>
      <c r="I25" s="1347"/>
      <c r="J25" s="1347"/>
      <c r="K25" s="1347"/>
      <c r="L25" s="112"/>
      <c r="M25" s="112"/>
      <c r="N25" s="112"/>
    </row>
    <row r="26" spans="1:14" ht="24.95" customHeight="1" x14ac:dyDescent="0.2">
      <c r="A26" s="1002" t="s">
        <v>2281</v>
      </c>
      <c r="B26" s="1002"/>
      <c r="C26" s="1002"/>
      <c r="D26" s="1002"/>
      <c r="E26" s="1002"/>
      <c r="F26" s="1002"/>
      <c r="G26" s="1002"/>
      <c r="H26" s="1002"/>
      <c r="I26" s="1002"/>
      <c r="J26" s="1002"/>
      <c r="K26" s="1002"/>
    </row>
    <row r="27" spans="1:14" ht="20.100000000000001" customHeight="1" thickBot="1" x14ac:dyDescent="0.3">
      <c r="A27" s="1383" t="s">
        <v>18</v>
      </c>
      <c r="B27" s="1383"/>
      <c r="C27" s="1383"/>
      <c r="D27" s="1383"/>
      <c r="E27" s="1383"/>
      <c r="F27" s="1383"/>
      <c r="G27" s="1383"/>
      <c r="H27" s="1383"/>
      <c r="I27" s="1383"/>
      <c r="J27" s="831"/>
      <c r="K27" s="843" t="str">
        <f>"Ver."&amp;" "&amp;TEXT(Introduction!$M$3,"MM/YYYY")</f>
        <v>Ver. 01/2025</v>
      </c>
    </row>
    <row r="28" spans="1:14" ht="30" customHeight="1" x14ac:dyDescent="0.2">
      <c r="A28" s="1381" t="s">
        <v>6</v>
      </c>
      <c r="B28" s="1377" t="s">
        <v>7</v>
      </c>
      <c r="C28" s="1379" t="s">
        <v>1850</v>
      </c>
      <c r="D28" s="1379" t="s">
        <v>8</v>
      </c>
      <c r="E28" s="805" t="s">
        <v>68</v>
      </c>
      <c r="F28" s="806" t="s">
        <v>9</v>
      </c>
      <c r="G28" s="1375" t="s">
        <v>19</v>
      </c>
      <c r="H28" s="1376"/>
      <c r="I28" s="807" t="s">
        <v>11</v>
      </c>
      <c r="J28" s="808" t="s">
        <v>12</v>
      </c>
      <c r="K28" s="788" t="s">
        <v>13</v>
      </c>
    </row>
    <row r="29" spans="1:14" ht="15.75" customHeight="1" thickBot="1" x14ac:dyDescent="0.25">
      <c r="A29" s="1382"/>
      <c r="B29" s="1378"/>
      <c r="C29" s="1380"/>
      <c r="D29" s="1380"/>
      <c r="E29" s="809" t="s">
        <v>14</v>
      </c>
      <c r="F29" s="810" t="s">
        <v>10</v>
      </c>
      <c r="G29" s="811" t="s">
        <v>16</v>
      </c>
      <c r="H29" s="809" t="s">
        <v>10</v>
      </c>
      <c r="I29" s="810" t="s">
        <v>15</v>
      </c>
      <c r="J29" s="812" t="s">
        <v>17</v>
      </c>
      <c r="K29" s="813" t="s">
        <v>15</v>
      </c>
    </row>
    <row r="30" spans="1:14" s="106" customFormat="1" ht="18" customHeight="1" x14ac:dyDescent="0.2">
      <c r="A30" s="340"/>
      <c r="B30" s="341"/>
      <c r="C30" s="498"/>
      <c r="D30" s="341"/>
      <c r="E30" s="342"/>
      <c r="F30" s="343"/>
      <c r="G30" s="344"/>
      <c r="H30" s="345"/>
      <c r="I30" s="346" t="str">
        <f>IF(AND(ISNUMBER(E30),ISNUMBER(F30),OR(ISNUMBER(G30),ISNUMBER(H30))),IF(G30&gt;0,E30*F30*G30,E30*H30),"")</f>
        <v/>
      </c>
      <c r="J30" s="347"/>
      <c r="K30" s="348" t="str">
        <f>IF(I30="","",IF(ISBLANK(J30),"",J30*I30))</f>
        <v/>
      </c>
      <c r="L30" s="100"/>
      <c r="M30" s="100"/>
      <c r="N30" s="100"/>
    </row>
    <row r="31" spans="1:14" s="106" customFormat="1" ht="18" customHeight="1" x14ac:dyDescent="0.2">
      <c r="A31" s="349"/>
      <c r="B31" s="350"/>
      <c r="C31" s="499"/>
      <c r="D31" s="350"/>
      <c r="E31" s="351"/>
      <c r="F31" s="352"/>
      <c r="G31" s="353"/>
      <c r="H31" s="354"/>
      <c r="I31" s="355" t="str">
        <f t="shared" ref="I31:I62" si="0">IF(AND(ISNUMBER(E31),ISNUMBER(F31),OR(ISNUMBER(G31),ISNUMBER(H31))),IF(G31&gt;0,E31*F31*G31,E31*H31),"")</f>
        <v/>
      </c>
      <c r="J31" s="356"/>
      <c r="K31" s="357" t="str">
        <f t="shared" ref="K31:K62" si="1">IF(I31="","",IF(ISBLANK(J31),"",J31*I31))</f>
        <v/>
      </c>
      <c r="L31" s="100"/>
      <c r="M31" s="100"/>
      <c r="N31" s="100"/>
    </row>
    <row r="32" spans="1:14" s="106" customFormat="1" ht="18" customHeight="1" x14ac:dyDescent="0.2">
      <c r="A32" s="349"/>
      <c r="B32" s="350"/>
      <c r="C32" s="499"/>
      <c r="D32" s="350"/>
      <c r="E32" s="351"/>
      <c r="F32" s="352"/>
      <c r="G32" s="353"/>
      <c r="H32" s="354"/>
      <c r="I32" s="355" t="str">
        <f t="shared" si="0"/>
        <v/>
      </c>
      <c r="J32" s="356"/>
      <c r="K32" s="357" t="str">
        <f t="shared" si="1"/>
        <v/>
      </c>
      <c r="L32" s="100"/>
      <c r="M32" s="100"/>
      <c r="N32" s="100"/>
    </row>
    <row r="33" spans="1:14" s="106" customFormat="1" ht="18" customHeight="1" x14ac:dyDescent="0.2">
      <c r="A33" s="349"/>
      <c r="B33" s="350"/>
      <c r="C33" s="499"/>
      <c r="D33" s="350"/>
      <c r="E33" s="351"/>
      <c r="F33" s="352"/>
      <c r="G33" s="353"/>
      <c r="H33" s="354"/>
      <c r="I33" s="355" t="str">
        <f t="shared" si="0"/>
        <v/>
      </c>
      <c r="J33" s="356"/>
      <c r="K33" s="357" t="str">
        <f t="shared" si="1"/>
        <v/>
      </c>
      <c r="L33" s="100"/>
      <c r="M33" s="100"/>
      <c r="N33" s="100"/>
    </row>
    <row r="34" spans="1:14" s="106" customFormat="1" ht="18" customHeight="1" x14ac:dyDescent="0.2">
      <c r="A34" s="349"/>
      <c r="B34" s="350"/>
      <c r="C34" s="499"/>
      <c r="D34" s="350"/>
      <c r="E34" s="351"/>
      <c r="F34" s="352"/>
      <c r="G34" s="353"/>
      <c r="H34" s="354"/>
      <c r="I34" s="355" t="str">
        <f t="shared" si="0"/>
        <v/>
      </c>
      <c r="J34" s="356"/>
      <c r="K34" s="357" t="str">
        <f t="shared" si="1"/>
        <v/>
      </c>
    </row>
    <row r="35" spans="1:14" s="106" customFormat="1" ht="18" customHeight="1" x14ac:dyDescent="0.2">
      <c r="A35" s="349"/>
      <c r="B35" s="350"/>
      <c r="C35" s="499"/>
      <c r="D35" s="350"/>
      <c r="E35" s="351"/>
      <c r="F35" s="352"/>
      <c r="G35" s="353"/>
      <c r="H35" s="354"/>
      <c r="I35" s="355" t="str">
        <f t="shared" si="0"/>
        <v/>
      </c>
      <c r="J35" s="356"/>
      <c r="K35" s="357" t="str">
        <f t="shared" si="1"/>
        <v/>
      </c>
    </row>
    <row r="36" spans="1:14" s="106" customFormat="1" ht="18" customHeight="1" x14ac:dyDescent="0.2">
      <c r="A36" s="349"/>
      <c r="B36" s="350"/>
      <c r="C36" s="499"/>
      <c r="D36" s="350"/>
      <c r="E36" s="351"/>
      <c r="F36" s="352"/>
      <c r="G36" s="353"/>
      <c r="H36" s="354"/>
      <c r="I36" s="355" t="str">
        <f t="shared" si="0"/>
        <v/>
      </c>
      <c r="J36" s="356"/>
      <c r="K36" s="357" t="str">
        <f t="shared" si="1"/>
        <v/>
      </c>
    </row>
    <row r="37" spans="1:14" s="106" customFormat="1" ht="18" customHeight="1" x14ac:dyDescent="0.2">
      <c r="A37" s="349"/>
      <c r="B37" s="350"/>
      <c r="C37" s="499"/>
      <c r="D37" s="350"/>
      <c r="E37" s="351"/>
      <c r="F37" s="352"/>
      <c r="G37" s="353"/>
      <c r="H37" s="354"/>
      <c r="I37" s="355" t="str">
        <f t="shared" si="0"/>
        <v/>
      </c>
      <c r="J37" s="356"/>
      <c r="K37" s="357" t="str">
        <f t="shared" si="1"/>
        <v/>
      </c>
    </row>
    <row r="38" spans="1:14" s="106" customFormat="1" ht="18" customHeight="1" x14ac:dyDescent="0.2">
      <c r="A38" s="349"/>
      <c r="B38" s="350"/>
      <c r="C38" s="499"/>
      <c r="D38" s="350"/>
      <c r="E38" s="351"/>
      <c r="F38" s="352"/>
      <c r="G38" s="353"/>
      <c r="H38" s="354"/>
      <c r="I38" s="355" t="str">
        <f t="shared" si="0"/>
        <v/>
      </c>
      <c r="J38" s="356"/>
      <c r="K38" s="357" t="str">
        <f t="shared" si="1"/>
        <v/>
      </c>
    </row>
    <row r="39" spans="1:14" s="106" customFormat="1" ht="18" customHeight="1" x14ac:dyDescent="0.2">
      <c r="A39" s="349"/>
      <c r="B39" s="350"/>
      <c r="C39" s="499"/>
      <c r="D39" s="350"/>
      <c r="E39" s="351"/>
      <c r="F39" s="352"/>
      <c r="G39" s="353"/>
      <c r="H39" s="354"/>
      <c r="I39" s="355" t="str">
        <f t="shared" si="0"/>
        <v/>
      </c>
      <c r="J39" s="356"/>
      <c r="K39" s="357" t="str">
        <f t="shared" si="1"/>
        <v/>
      </c>
    </row>
    <row r="40" spans="1:14" s="106" customFormat="1" ht="18" customHeight="1" x14ac:dyDescent="0.2">
      <c r="A40" s="349"/>
      <c r="B40" s="350"/>
      <c r="C40" s="499"/>
      <c r="D40" s="350"/>
      <c r="E40" s="351"/>
      <c r="F40" s="352"/>
      <c r="G40" s="353"/>
      <c r="H40" s="354"/>
      <c r="I40" s="355" t="str">
        <f t="shared" si="0"/>
        <v/>
      </c>
      <c r="J40" s="356"/>
      <c r="K40" s="357" t="str">
        <f t="shared" si="1"/>
        <v/>
      </c>
    </row>
    <row r="41" spans="1:14" s="106" customFormat="1" ht="18" customHeight="1" x14ac:dyDescent="0.2">
      <c r="A41" s="349"/>
      <c r="B41" s="350"/>
      <c r="C41" s="499"/>
      <c r="D41" s="350"/>
      <c r="E41" s="351"/>
      <c r="F41" s="352"/>
      <c r="G41" s="353"/>
      <c r="H41" s="354"/>
      <c r="I41" s="355" t="str">
        <f t="shared" si="0"/>
        <v/>
      </c>
      <c r="J41" s="356"/>
      <c r="K41" s="357" t="str">
        <f t="shared" si="1"/>
        <v/>
      </c>
    </row>
    <row r="42" spans="1:14" s="106" customFormat="1" ht="18" customHeight="1" x14ac:dyDescent="0.2">
      <c r="A42" s="349"/>
      <c r="B42" s="350"/>
      <c r="C42" s="499"/>
      <c r="D42" s="350"/>
      <c r="E42" s="351"/>
      <c r="F42" s="352"/>
      <c r="G42" s="353"/>
      <c r="H42" s="354"/>
      <c r="I42" s="355" t="str">
        <f t="shared" si="0"/>
        <v/>
      </c>
      <c r="J42" s="356"/>
      <c r="K42" s="357" t="str">
        <f t="shared" si="1"/>
        <v/>
      </c>
    </row>
    <row r="43" spans="1:14" s="106" customFormat="1" ht="18" customHeight="1" x14ac:dyDescent="0.2">
      <c r="A43" s="349"/>
      <c r="B43" s="350"/>
      <c r="C43" s="499"/>
      <c r="D43" s="350"/>
      <c r="E43" s="351"/>
      <c r="F43" s="352"/>
      <c r="G43" s="353"/>
      <c r="H43" s="354"/>
      <c r="I43" s="355" t="str">
        <f t="shared" si="0"/>
        <v/>
      </c>
      <c r="J43" s="356"/>
      <c r="K43" s="357" t="str">
        <f t="shared" si="1"/>
        <v/>
      </c>
    </row>
    <row r="44" spans="1:14" s="106" customFormat="1" ht="18" customHeight="1" x14ac:dyDescent="0.2">
      <c r="A44" s="349"/>
      <c r="B44" s="350"/>
      <c r="C44" s="499"/>
      <c r="D44" s="350"/>
      <c r="E44" s="351"/>
      <c r="F44" s="352"/>
      <c r="G44" s="353"/>
      <c r="H44" s="354"/>
      <c r="I44" s="355" t="str">
        <f t="shared" si="0"/>
        <v/>
      </c>
      <c r="J44" s="356"/>
      <c r="K44" s="357" t="str">
        <f t="shared" si="1"/>
        <v/>
      </c>
    </row>
    <row r="45" spans="1:14" s="106" customFormat="1" ht="18" customHeight="1" x14ac:dyDescent="0.2">
      <c r="A45" s="349"/>
      <c r="B45" s="350"/>
      <c r="C45" s="499"/>
      <c r="D45" s="350"/>
      <c r="E45" s="351"/>
      <c r="F45" s="352"/>
      <c r="G45" s="353"/>
      <c r="H45" s="354"/>
      <c r="I45" s="355" t="str">
        <f t="shared" si="0"/>
        <v/>
      </c>
      <c r="J45" s="356"/>
      <c r="K45" s="357" t="str">
        <f t="shared" si="1"/>
        <v/>
      </c>
    </row>
    <row r="46" spans="1:14" s="106" customFormat="1" ht="18" customHeight="1" x14ac:dyDescent="0.2">
      <c r="A46" s="349"/>
      <c r="B46" s="350"/>
      <c r="C46" s="499"/>
      <c r="D46" s="350"/>
      <c r="E46" s="351"/>
      <c r="F46" s="352"/>
      <c r="G46" s="353"/>
      <c r="H46" s="354"/>
      <c r="I46" s="355" t="str">
        <f t="shared" si="0"/>
        <v/>
      </c>
      <c r="J46" s="356"/>
      <c r="K46" s="357" t="str">
        <f t="shared" si="1"/>
        <v/>
      </c>
    </row>
    <row r="47" spans="1:14" s="106" customFormat="1" ht="18" customHeight="1" x14ac:dyDescent="0.2">
      <c r="A47" s="349"/>
      <c r="B47" s="350"/>
      <c r="C47" s="499"/>
      <c r="D47" s="350"/>
      <c r="E47" s="351"/>
      <c r="F47" s="352"/>
      <c r="G47" s="353"/>
      <c r="H47" s="354"/>
      <c r="I47" s="355" t="str">
        <f t="shared" si="0"/>
        <v/>
      </c>
      <c r="J47" s="356"/>
      <c r="K47" s="357" t="str">
        <f t="shared" si="1"/>
        <v/>
      </c>
    </row>
    <row r="48" spans="1:14" s="106" customFormat="1" ht="18" customHeight="1" x14ac:dyDescent="0.2">
      <c r="A48" s="349"/>
      <c r="B48" s="350"/>
      <c r="C48" s="499"/>
      <c r="D48" s="350"/>
      <c r="E48" s="351"/>
      <c r="F48" s="352"/>
      <c r="G48" s="353"/>
      <c r="H48" s="354"/>
      <c r="I48" s="355" t="str">
        <f t="shared" si="0"/>
        <v/>
      </c>
      <c r="J48" s="356"/>
      <c r="K48" s="357" t="str">
        <f t="shared" si="1"/>
        <v/>
      </c>
    </row>
    <row r="49" spans="1:11" s="106" customFormat="1" ht="18" customHeight="1" x14ac:dyDescent="0.2">
      <c r="A49" s="349"/>
      <c r="B49" s="350"/>
      <c r="C49" s="499"/>
      <c r="D49" s="350"/>
      <c r="E49" s="351"/>
      <c r="F49" s="352"/>
      <c r="G49" s="353"/>
      <c r="H49" s="354"/>
      <c r="I49" s="355" t="str">
        <f t="shared" si="0"/>
        <v/>
      </c>
      <c r="J49" s="356"/>
      <c r="K49" s="357" t="str">
        <f t="shared" si="1"/>
        <v/>
      </c>
    </row>
    <row r="50" spans="1:11" s="106" customFormat="1" ht="18" customHeight="1" x14ac:dyDescent="0.2">
      <c r="A50" s="349"/>
      <c r="B50" s="350"/>
      <c r="C50" s="499"/>
      <c r="D50" s="350"/>
      <c r="E50" s="351"/>
      <c r="F50" s="352"/>
      <c r="G50" s="353"/>
      <c r="H50" s="354"/>
      <c r="I50" s="355" t="str">
        <f t="shared" si="0"/>
        <v/>
      </c>
      <c r="J50" s="356"/>
      <c r="K50" s="357" t="str">
        <f t="shared" si="1"/>
        <v/>
      </c>
    </row>
    <row r="51" spans="1:11" s="106" customFormat="1" ht="18" customHeight="1" x14ac:dyDescent="0.2">
      <c r="A51" s="349"/>
      <c r="B51" s="350"/>
      <c r="C51" s="499"/>
      <c r="D51" s="350"/>
      <c r="E51" s="351"/>
      <c r="F51" s="352"/>
      <c r="G51" s="353"/>
      <c r="H51" s="354"/>
      <c r="I51" s="355" t="str">
        <f t="shared" si="0"/>
        <v/>
      </c>
      <c r="J51" s="356"/>
      <c r="K51" s="357" t="str">
        <f t="shared" si="1"/>
        <v/>
      </c>
    </row>
    <row r="52" spans="1:11" s="106" customFormat="1" ht="18" customHeight="1" x14ac:dyDescent="0.2">
      <c r="A52" s="349"/>
      <c r="B52" s="350"/>
      <c r="C52" s="499"/>
      <c r="D52" s="350"/>
      <c r="E52" s="351"/>
      <c r="F52" s="352"/>
      <c r="G52" s="353"/>
      <c r="H52" s="354"/>
      <c r="I52" s="355" t="str">
        <f t="shared" si="0"/>
        <v/>
      </c>
      <c r="J52" s="356"/>
      <c r="K52" s="357" t="str">
        <f t="shared" si="1"/>
        <v/>
      </c>
    </row>
    <row r="53" spans="1:11" s="106" customFormat="1" ht="18" customHeight="1" x14ac:dyDescent="0.2">
      <c r="A53" s="349"/>
      <c r="B53" s="350"/>
      <c r="C53" s="499"/>
      <c r="D53" s="350"/>
      <c r="E53" s="351"/>
      <c r="F53" s="352"/>
      <c r="G53" s="353"/>
      <c r="H53" s="354"/>
      <c r="I53" s="355" t="str">
        <f t="shared" si="0"/>
        <v/>
      </c>
      <c r="J53" s="356"/>
      <c r="K53" s="357" t="str">
        <f t="shared" si="1"/>
        <v/>
      </c>
    </row>
    <row r="54" spans="1:11" s="106" customFormat="1" ht="18" customHeight="1" x14ac:dyDescent="0.2">
      <c r="A54" s="349"/>
      <c r="B54" s="350"/>
      <c r="C54" s="499"/>
      <c r="D54" s="350"/>
      <c r="E54" s="351"/>
      <c r="F54" s="352"/>
      <c r="G54" s="353"/>
      <c r="H54" s="354"/>
      <c r="I54" s="355" t="str">
        <f t="shared" si="0"/>
        <v/>
      </c>
      <c r="J54" s="356"/>
      <c r="K54" s="357" t="str">
        <f t="shared" si="1"/>
        <v/>
      </c>
    </row>
    <row r="55" spans="1:11" s="106" customFormat="1" ht="18" customHeight="1" x14ac:dyDescent="0.2">
      <c r="A55" s="349"/>
      <c r="B55" s="350"/>
      <c r="C55" s="499"/>
      <c r="D55" s="350"/>
      <c r="E55" s="351"/>
      <c r="F55" s="352"/>
      <c r="G55" s="353"/>
      <c r="H55" s="354"/>
      <c r="I55" s="355" t="str">
        <f t="shared" si="0"/>
        <v/>
      </c>
      <c r="J55" s="356"/>
      <c r="K55" s="357" t="str">
        <f t="shared" si="1"/>
        <v/>
      </c>
    </row>
    <row r="56" spans="1:11" s="106" customFormat="1" ht="18" customHeight="1" x14ac:dyDescent="0.2">
      <c r="A56" s="349"/>
      <c r="B56" s="350"/>
      <c r="C56" s="499"/>
      <c r="D56" s="350"/>
      <c r="E56" s="351"/>
      <c r="F56" s="352"/>
      <c r="G56" s="353"/>
      <c r="H56" s="354"/>
      <c r="I56" s="355" t="str">
        <f t="shared" si="0"/>
        <v/>
      </c>
      <c r="J56" s="356"/>
      <c r="K56" s="357" t="str">
        <f t="shared" si="1"/>
        <v/>
      </c>
    </row>
    <row r="57" spans="1:11" s="106" customFormat="1" ht="18" customHeight="1" x14ac:dyDescent="0.2">
      <c r="A57" s="349"/>
      <c r="B57" s="350"/>
      <c r="C57" s="499"/>
      <c r="D57" s="350"/>
      <c r="E57" s="351"/>
      <c r="F57" s="352"/>
      <c r="G57" s="353"/>
      <c r="H57" s="354"/>
      <c r="I57" s="355" t="str">
        <f t="shared" si="0"/>
        <v/>
      </c>
      <c r="J57" s="356"/>
      <c r="K57" s="357" t="str">
        <f t="shared" si="1"/>
        <v/>
      </c>
    </row>
    <row r="58" spans="1:11" s="106" customFormat="1" ht="18" customHeight="1" x14ac:dyDescent="0.2">
      <c r="A58" s="349"/>
      <c r="B58" s="350"/>
      <c r="C58" s="499"/>
      <c r="D58" s="350"/>
      <c r="E58" s="351"/>
      <c r="F58" s="352"/>
      <c r="G58" s="353"/>
      <c r="H58" s="354"/>
      <c r="I58" s="355" t="str">
        <f t="shared" si="0"/>
        <v/>
      </c>
      <c r="J58" s="356"/>
      <c r="K58" s="357" t="str">
        <f t="shared" si="1"/>
        <v/>
      </c>
    </row>
    <row r="59" spans="1:11" s="106" customFormat="1" ht="18" customHeight="1" x14ac:dyDescent="0.2">
      <c r="A59" s="349"/>
      <c r="B59" s="350"/>
      <c r="C59" s="499"/>
      <c r="D59" s="350"/>
      <c r="E59" s="351"/>
      <c r="F59" s="352"/>
      <c r="G59" s="353"/>
      <c r="H59" s="354"/>
      <c r="I59" s="355" t="str">
        <f t="shared" si="0"/>
        <v/>
      </c>
      <c r="J59" s="356"/>
      <c r="K59" s="357" t="str">
        <f t="shared" si="1"/>
        <v/>
      </c>
    </row>
    <row r="60" spans="1:11" s="106" customFormat="1" ht="18" customHeight="1" x14ac:dyDescent="0.2">
      <c r="A60" s="349"/>
      <c r="B60" s="350"/>
      <c r="C60" s="499"/>
      <c r="D60" s="350"/>
      <c r="E60" s="351"/>
      <c r="F60" s="352"/>
      <c r="G60" s="353"/>
      <c r="H60" s="354"/>
      <c r="I60" s="355" t="str">
        <f t="shared" si="0"/>
        <v/>
      </c>
      <c r="J60" s="356"/>
      <c r="K60" s="357" t="str">
        <f t="shared" si="1"/>
        <v/>
      </c>
    </row>
    <row r="61" spans="1:11" s="106" customFormat="1" ht="18" customHeight="1" x14ac:dyDescent="0.2">
      <c r="A61" s="349"/>
      <c r="B61" s="350"/>
      <c r="C61" s="499"/>
      <c r="D61" s="350"/>
      <c r="E61" s="351"/>
      <c r="F61" s="352"/>
      <c r="G61" s="353"/>
      <c r="H61" s="354"/>
      <c r="I61" s="355" t="str">
        <f t="shared" si="0"/>
        <v/>
      </c>
      <c r="J61" s="356"/>
      <c r="K61" s="357" t="str">
        <f t="shared" si="1"/>
        <v/>
      </c>
    </row>
    <row r="62" spans="1:11" s="106" customFormat="1" ht="18" customHeight="1" thickBot="1" x14ac:dyDescent="0.25">
      <c r="A62" s="358"/>
      <c r="B62" s="359"/>
      <c r="C62" s="500"/>
      <c r="D62" s="359"/>
      <c r="E62" s="360"/>
      <c r="F62" s="361"/>
      <c r="G62" s="362"/>
      <c r="H62" s="363"/>
      <c r="I62" s="364" t="str">
        <f t="shared" si="0"/>
        <v/>
      </c>
      <c r="J62" s="365"/>
      <c r="K62" s="366" t="str">
        <f t="shared" si="1"/>
        <v/>
      </c>
    </row>
    <row r="63" spans="1:11" x14ac:dyDescent="0.2">
      <c r="A63" s="113"/>
    </row>
  </sheetData>
  <sheetProtection algorithmName="SHA-512" hashValue="nK3ZCtudBLJyLoIni4eBtNHH+lBbC8hne56Nl9GljSi88sDSKLr869o2JdaMaLAVNRAsQ+WeMGTvc1y8VXBq/w==" saltValue="uLwtI3ngeRGr7HtLX8+t6A==" spinCount="100000" sheet="1" objects="1" scenarios="1"/>
  <mergeCells count="27">
    <mergeCell ref="A1:K1"/>
    <mergeCell ref="G12:H12"/>
    <mergeCell ref="D12:D13"/>
    <mergeCell ref="A2:K2"/>
    <mergeCell ref="A12:A13"/>
    <mergeCell ref="B12:B13"/>
    <mergeCell ref="C12:C13"/>
    <mergeCell ref="B8:K8"/>
    <mergeCell ref="B9:K9"/>
    <mergeCell ref="B10:K10"/>
    <mergeCell ref="B3:K3"/>
    <mergeCell ref="B4:K4"/>
    <mergeCell ref="B5:K5"/>
    <mergeCell ref="B6:K6"/>
    <mergeCell ref="B7:K7"/>
    <mergeCell ref="G28:H28"/>
    <mergeCell ref="B28:B29"/>
    <mergeCell ref="D28:D29"/>
    <mergeCell ref="A28:A29"/>
    <mergeCell ref="A26:K26"/>
    <mergeCell ref="C28:C29"/>
    <mergeCell ref="A27:I27"/>
    <mergeCell ref="A17:K17"/>
    <mergeCell ref="A22:K22"/>
    <mergeCell ref="A23:K23"/>
    <mergeCell ref="A24:K24"/>
    <mergeCell ref="A25:K25"/>
  </mergeCells>
  <conditionalFormatting sqref="B30:K62">
    <cfRule type="expression" dxfId="124" priority="13">
      <formula>AND(NOT(ISBLANK($A30)),ISBLANK(B30))</formula>
    </cfRule>
  </conditionalFormatting>
  <conditionalFormatting sqref="E30:H62 J30:J62">
    <cfRule type="expression" dxfId="123" priority="15">
      <formula>ISTEXT(E30)</formula>
    </cfRule>
  </conditionalFormatting>
  <conditionalFormatting sqref="G30:G62">
    <cfRule type="expression" dxfId="122" priority="12">
      <formula>AND(NOT(ISBLANK(H30)),ISBLANK(G30))</formula>
    </cfRule>
  </conditionalFormatting>
  <conditionalFormatting sqref="H30:H62">
    <cfRule type="expression" dxfId="121" priority="1">
      <formula>AND(NOT(ISBLANK(G30)),ISBLANK(H30))</formula>
    </cfRule>
  </conditionalFormatting>
  <printOptions horizontalCentered="1"/>
  <pageMargins left="0.5" right="0.5" top="0.5" bottom="0.5" header="0.3" footer="0.3"/>
  <pageSetup scale="72" fitToHeight="0" orientation="landscape" r:id="rId1"/>
  <headerFooter>
    <oddFooter>&amp;L&amp;A&amp;RPage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002060"/>
    <pageSetUpPr fitToPage="1"/>
  </sheetPr>
  <dimension ref="A1:AE287"/>
  <sheetViews>
    <sheetView showGridLines="0" zoomScaleNormal="100" workbookViewId="0">
      <selection sqref="A1:L1"/>
    </sheetView>
  </sheetViews>
  <sheetFormatPr defaultRowHeight="14.25" x14ac:dyDescent="0.2"/>
  <cols>
    <col min="1" max="1" width="24.7109375" style="100" customWidth="1"/>
    <col min="2" max="2" width="22.7109375" style="100" customWidth="1"/>
    <col min="3" max="3" width="11.7109375" style="100" customWidth="1"/>
    <col min="4" max="6" width="12.7109375" style="100" customWidth="1"/>
    <col min="7" max="8" width="13.28515625" style="100" customWidth="1"/>
    <col min="9" max="9" width="11.7109375" style="138" customWidth="1"/>
    <col min="10" max="10" width="13.7109375" style="100" customWidth="1"/>
    <col min="11" max="11" width="11.7109375" style="114" customWidth="1"/>
    <col min="12" max="12" width="13.7109375" style="100" customWidth="1"/>
    <col min="13" max="14" width="9.140625" style="100" customWidth="1"/>
    <col min="15" max="15" width="9.140625" style="100"/>
    <col min="16" max="16" width="19.85546875" style="100" customWidth="1"/>
    <col min="17" max="17" width="20.7109375" style="141" customWidth="1"/>
    <col min="18" max="18" width="9.140625" style="100"/>
    <col min="19" max="19" width="13.7109375" style="100" customWidth="1"/>
    <col min="20" max="16384" width="9.140625" style="100"/>
  </cols>
  <sheetData>
    <row r="1" spans="1:17" s="69" customFormat="1" ht="26.25" customHeight="1" thickBot="1" x14ac:dyDescent="0.3">
      <c r="A1" s="1255" t="s">
        <v>2278</v>
      </c>
      <c r="B1" s="1255"/>
      <c r="C1" s="1255"/>
      <c r="D1" s="1255"/>
      <c r="E1" s="1255"/>
      <c r="F1" s="1255"/>
      <c r="G1" s="1255"/>
      <c r="H1" s="1255"/>
      <c r="I1" s="1255"/>
      <c r="J1" s="1255"/>
      <c r="K1" s="1255"/>
      <c r="L1" s="1255"/>
      <c r="M1" s="79"/>
      <c r="N1" s="79"/>
      <c r="Q1" s="140"/>
    </row>
    <row r="2" spans="1:17" s="160" customFormat="1" ht="35.1" customHeight="1" x14ac:dyDescent="0.25">
      <c r="A2" s="1310" t="s">
        <v>2279</v>
      </c>
      <c r="B2" s="1310"/>
      <c r="C2" s="1310"/>
      <c r="D2" s="1310"/>
      <c r="E2" s="1310"/>
      <c r="F2" s="1310"/>
      <c r="G2" s="1310"/>
      <c r="H2" s="1310"/>
      <c r="I2" s="1310"/>
      <c r="J2" s="1310"/>
      <c r="K2" s="1310"/>
      <c r="L2" s="1310"/>
      <c r="M2" s="163"/>
      <c r="N2" s="163"/>
      <c r="Q2" s="165"/>
    </row>
    <row r="3" spans="1:17" s="160" customFormat="1" ht="35.1" customHeight="1" x14ac:dyDescent="0.25">
      <c r="A3" s="161">
        <v>1</v>
      </c>
      <c r="B3" s="1392" t="s">
        <v>1536</v>
      </c>
      <c r="C3" s="1392"/>
      <c r="D3" s="1392"/>
      <c r="E3" s="1392"/>
      <c r="F3" s="1392"/>
      <c r="G3" s="1392"/>
      <c r="H3" s="1392"/>
      <c r="I3" s="1392"/>
      <c r="J3" s="1392"/>
      <c r="K3" s="1392"/>
      <c r="L3" s="1392"/>
      <c r="M3" s="164"/>
      <c r="N3" s="164"/>
      <c r="Q3" s="165"/>
    </row>
    <row r="4" spans="1:17" s="160" customFormat="1" ht="20.100000000000001" customHeight="1" x14ac:dyDescent="0.25">
      <c r="A4" s="161">
        <v>2</v>
      </c>
      <c r="B4" s="1392" t="s">
        <v>1522</v>
      </c>
      <c r="C4" s="1392"/>
      <c r="D4" s="1392"/>
      <c r="E4" s="1392"/>
      <c r="F4" s="1392"/>
      <c r="G4" s="1392"/>
      <c r="H4" s="1392"/>
      <c r="I4" s="1392"/>
      <c r="J4" s="1392"/>
      <c r="K4" s="1392"/>
      <c r="L4" s="1392"/>
      <c r="M4" s="164"/>
      <c r="N4" s="164"/>
      <c r="Q4" s="165"/>
    </row>
    <row r="5" spans="1:17" s="160" customFormat="1" ht="35.1" customHeight="1" x14ac:dyDescent="0.25">
      <c r="A5" s="161">
        <v>3</v>
      </c>
      <c r="B5" s="1392" t="s">
        <v>1524</v>
      </c>
      <c r="C5" s="1392"/>
      <c r="D5" s="1392"/>
      <c r="E5" s="1392"/>
      <c r="F5" s="1392"/>
      <c r="G5" s="1392"/>
      <c r="H5" s="1392"/>
      <c r="I5" s="1392"/>
      <c r="J5" s="1392"/>
      <c r="K5" s="1392"/>
      <c r="L5" s="1392"/>
      <c r="M5" s="164"/>
      <c r="N5" s="164"/>
      <c r="Q5" s="165"/>
    </row>
    <row r="6" spans="1:17" s="160" customFormat="1" ht="35.1" customHeight="1" x14ac:dyDescent="0.25">
      <c r="A6" s="161">
        <v>4</v>
      </c>
      <c r="B6" s="1392" t="s">
        <v>1866</v>
      </c>
      <c r="C6" s="1392"/>
      <c r="D6" s="1392"/>
      <c r="E6" s="1392"/>
      <c r="F6" s="1392"/>
      <c r="G6" s="1392"/>
      <c r="H6" s="1392"/>
      <c r="I6" s="1392"/>
      <c r="J6" s="1392"/>
      <c r="K6" s="1392"/>
      <c r="L6" s="1392"/>
      <c r="M6" s="164"/>
      <c r="N6" s="164"/>
      <c r="Q6" s="165"/>
    </row>
    <row r="7" spans="1:17" s="160" customFormat="1" ht="50.1" customHeight="1" x14ac:dyDescent="0.25">
      <c r="A7" s="161">
        <v>5</v>
      </c>
      <c r="B7" s="1392" t="s">
        <v>1860</v>
      </c>
      <c r="C7" s="1392"/>
      <c r="D7" s="1392"/>
      <c r="E7" s="1392"/>
      <c r="F7" s="1392"/>
      <c r="G7" s="1392"/>
      <c r="H7" s="1392"/>
      <c r="I7" s="1392"/>
      <c r="J7" s="1392"/>
      <c r="K7" s="1392"/>
      <c r="L7" s="1392"/>
      <c r="M7" s="164"/>
      <c r="N7" s="164"/>
      <c r="Q7" s="165"/>
    </row>
    <row r="8" spans="1:17" s="160" customFormat="1" ht="20.100000000000001" customHeight="1" x14ac:dyDescent="0.25">
      <c r="A8" s="161">
        <v>6</v>
      </c>
      <c r="B8" s="1392" t="s">
        <v>1861</v>
      </c>
      <c r="C8" s="1392"/>
      <c r="D8" s="1392"/>
      <c r="E8" s="1392"/>
      <c r="F8" s="1392"/>
      <c r="G8" s="1392"/>
      <c r="H8" s="1392"/>
      <c r="I8" s="1392"/>
      <c r="J8" s="1392"/>
      <c r="K8" s="1392"/>
      <c r="L8" s="1392"/>
      <c r="M8" s="164"/>
      <c r="N8" s="164"/>
      <c r="Q8" s="165"/>
    </row>
    <row r="9" spans="1:17" s="160" customFormat="1" ht="35.1" customHeight="1" x14ac:dyDescent="0.25">
      <c r="A9" s="161">
        <v>7</v>
      </c>
      <c r="B9" s="1392" t="s">
        <v>1862</v>
      </c>
      <c r="C9" s="1392"/>
      <c r="D9" s="1392"/>
      <c r="E9" s="1392"/>
      <c r="F9" s="1392"/>
      <c r="G9" s="1392"/>
      <c r="H9" s="1392"/>
      <c r="I9" s="1392"/>
      <c r="J9" s="1392"/>
      <c r="K9" s="1392"/>
      <c r="L9" s="1392"/>
      <c r="M9" s="164"/>
      <c r="N9" s="164"/>
      <c r="Q9" s="165"/>
    </row>
    <row r="10" spans="1:17" s="160" customFormat="1" ht="35.1" customHeight="1" x14ac:dyDescent="0.25">
      <c r="A10" s="161">
        <v>8</v>
      </c>
      <c r="B10" s="1392" t="s">
        <v>1863</v>
      </c>
      <c r="C10" s="1392"/>
      <c r="D10" s="1392"/>
      <c r="E10" s="1392"/>
      <c r="F10" s="1392"/>
      <c r="G10" s="1392"/>
      <c r="H10" s="1392"/>
      <c r="I10" s="1392"/>
      <c r="J10" s="1392"/>
      <c r="K10" s="1392"/>
      <c r="L10" s="1392"/>
      <c r="M10" s="164"/>
      <c r="N10" s="164"/>
      <c r="Q10" s="165"/>
    </row>
    <row r="11" spans="1:17" s="160" customFormat="1" ht="50.1" customHeight="1" x14ac:dyDescent="0.25">
      <c r="A11" s="161">
        <v>9</v>
      </c>
      <c r="B11" s="1392" t="s">
        <v>1864</v>
      </c>
      <c r="C11" s="1392"/>
      <c r="D11" s="1392"/>
      <c r="E11" s="1392"/>
      <c r="F11" s="1392"/>
      <c r="G11" s="1392"/>
      <c r="H11" s="1392"/>
      <c r="I11" s="1392"/>
      <c r="J11" s="1392"/>
      <c r="K11" s="1392"/>
      <c r="L11" s="1392"/>
      <c r="M11" s="164"/>
      <c r="N11" s="164"/>
      <c r="Q11" s="165"/>
    </row>
    <row r="12" spans="1:17" s="160" customFormat="1" ht="35.1" customHeight="1" x14ac:dyDescent="0.25">
      <c r="A12" s="161">
        <v>10</v>
      </c>
      <c r="B12" s="1392" t="s">
        <v>1865</v>
      </c>
      <c r="C12" s="1392"/>
      <c r="D12" s="1392"/>
      <c r="E12" s="1392"/>
      <c r="F12" s="1392"/>
      <c r="G12" s="1392"/>
      <c r="H12" s="1392"/>
      <c r="I12" s="1392"/>
      <c r="J12" s="1392"/>
      <c r="K12" s="1392"/>
      <c r="L12" s="1392"/>
      <c r="M12" s="164"/>
      <c r="N12" s="164"/>
      <c r="Q12" s="165"/>
    </row>
    <row r="13" spans="1:17" s="168" customFormat="1" ht="20.100000000000001" customHeight="1" x14ac:dyDescent="0.25">
      <c r="A13" s="470">
        <v>11</v>
      </c>
      <c r="B13" s="1392" t="s">
        <v>1622</v>
      </c>
      <c r="C13" s="1392"/>
      <c r="D13" s="1392"/>
      <c r="E13" s="1392"/>
      <c r="F13" s="1392"/>
      <c r="G13" s="1392"/>
      <c r="H13" s="1392"/>
      <c r="I13" s="1392"/>
      <c r="J13" s="1392"/>
      <c r="K13" s="1392"/>
      <c r="L13" s="1392"/>
      <c r="M13" s="496"/>
      <c r="N13" s="496"/>
      <c r="Q13" s="505"/>
    </row>
    <row r="14" spans="1:17" s="160" customFormat="1" ht="30" customHeight="1" x14ac:dyDescent="0.25">
      <c r="A14" s="1403" t="s">
        <v>1767</v>
      </c>
      <c r="B14" s="1403"/>
      <c r="C14" s="1403"/>
      <c r="D14" s="1403"/>
      <c r="E14" s="1403"/>
      <c r="F14" s="1403"/>
      <c r="G14" s="1403"/>
      <c r="H14" s="1403"/>
      <c r="I14" s="1403"/>
      <c r="J14" s="1403"/>
      <c r="K14" s="1403"/>
      <c r="L14" s="1403"/>
      <c r="M14" s="169"/>
      <c r="N14" s="169"/>
      <c r="Q14" s="165"/>
    </row>
    <row r="15" spans="1:17" s="68" customFormat="1" ht="9" customHeight="1" thickBot="1" x14ac:dyDescent="0.3">
      <c r="A15" s="78"/>
      <c r="B15" s="78"/>
      <c r="C15" s="78"/>
      <c r="D15" s="78"/>
      <c r="E15" s="78"/>
      <c r="F15" s="78"/>
      <c r="G15" s="78"/>
      <c r="H15" s="78"/>
      <c r="I15" s="528"/>
      <c r="J15" s="78"/>
      <c r="K15" s="78"/>
      <c r="L15" s="78"/>
      <c r="M15" s="78"/>
      <c r="Q15" s="66"/>
    </row>
    <row r="16" spans="1:17" ht="30" customHeight="1" x14ac:dyDescent="0.2">
      <c r="A16" s="1388" t="s">
        <v>6</v>
      </c>
      <c r="B16" s="1390" t="s">
        <v>20</v>
      </c>
      <c r="C16" s="1386" t="s">
        <v>1406</v>
      </c>
      <c r="D16" s="1386" t="s">
        <v>1850</v>
      </c>
      <c r="E16" s="1386" t="s">
        <v>1607</v>
      </c>
      <c r="F16" s="1386" t="s">
        <v>1555</v>
      </c>
      <c r="G16" s="1386" t="s">
        <v>1614</v>
      </c>
      <c r="H16" s="1386" t="s">
        <v>1608</v>
      </c>
      <c r="I16" s="529" t="s">
        <v>9</v>
      </c>
      <c r="J16" s="493" t="s">
        <v>1867</v>
      </c>
      <c r="K16" s="497" t="s">
        <v>12</v>
      </c>
      <c r="L16" s="99" t="s">
        <v>21</v>
      </c>
    </row>
    <row r="17" spans="1:17" ht="15" customHeight="1" thickBot="1" x14ac:dyDescent="0.25">
      <c r="A17" s="1389"/>
      <c r="B17" s="1391"/>
      <c r="C17" s="1387"/>
      <c r="D17" s="1387"/>
      <c r="E17" s="1387"/>
      <c r="F17" s="1387"/>
      <c r="G17" s="1387"/>
      <c r="H17" s="1387"/>
      <c r="I17" s="530" t="s">
        <v>10</v>
      </c>
      <c r="J17" s="115" t="s">
        <v>15</v>
      </c>
      <c r="K17" s="116" t="s">
        <v>17</v>
      </c>
      <c r="L17" s="117" t="s">
        <v>15</v>
      </c>
    </row>
    <row r="18" spans="1:17" ht="18" customHeight="1" x14ac:dyDescent="0.2">
      <c r="A18" s="509" t="s">
        <v>1516</v>
      </c>
      <c r="B18" s="510" t="s">
        <v>1523</v>
      </c>
      <c r="C18" s="511">
        <v>1330207</v>
      </c>
      <c r="D18" s="512" t="s">
        <v>2083</v>
      </c>
      <c r="E18" s="513">
        <v>1000</v>
      </c>
      <c r="F18" s="326" t="s">
        <v>1611</v>
      </c>
      <c r="G18" s="514">
        <v>15</v>
      </c>
      <c r="H18" s="515" t="s">
        <v>1612</v>
      </c>
      <c r="I18" s="531">
        <v>10</v>
      </c>
      <c r="J18" s="329">
        <v>1500</v>
      </c>
      <c r="K18" s="330">
        <v>1</v>
      </c>
      <c r="L18" s="516">
        <v>1500</v>
      </c>
    </row>
    <row r="19" spans="1:17" ht="18" customHeight="1" x14ac:dyDescent="0.2">
      <c r="A19" s="517"/>
      <c r="B19" s="518" t="s">
        <v>1</v>
      </c>
      <c r="C19" s="519">
        <v>108883</v>
      </c>
      <c r="D19" s="520"/>
      <c r="E19" s="525"/>
      <c r="F19" s="526"/>
      <c r="G19" s="521">
        <v>5</v>
      </c>
      <c r="H19" s="336" t="s">
        <v>1612</v>
      </c>
      <c r="I19" s="532"/>
      <c r="J19" s="337">
        <v>500</v>
      </c>
      <c r="K19" s="527"/>
      <c r="L19" s="522">
        <v>500</v>
      </c>
    </row>
    <row r="20" spans="1:17" ht="18" customHeight="1" x14ac:dyDescent="0.2">
      <c r="A20" s="517"/>
      <c r="B20" s="518" t="s">
        <v>109</v>
      </c>
      <c r="C20" s="519">
        <v>75092</v>
      </c>
      <c r="D20" s="520"/>
      <c r="E20" s="525"/>
      <c r="F20" s="526"/>
      <c r="G20" s="521">
        <v>3</v>
      </c>
      <c r="H20" s="336" t="s">
        <v>1612</v>
      </c>
      <c r="I20" s="532"/>
      <c r="J20" s="337">
        <v>300</v>
      </c>
      <c r="K20" s="527"/>
      <c r="L20" s="522">
        <v>300</v>
      </c>
    </row>
    <row r="21" spans="1:17" ht="18" customHeight="1" x14ac:dyDescent="0.2">
      <c r="A21" s="517" t="s">
        <v>1520</v>
      </c>
      <c r="B21" s="518" t="s">
        <v>188</v>
      </c>
      <c r="C21" s="519">
        <v>110543</v>
      </c>
      <c r="D21" s="523" t="s">
        <v>2084</v>
      </c>
      <c r="E21" s="524">
        <v>5000</v>
      </c>
      <c r="F21" s="334" t="s">
        <v>1611</v>
      </c>
      <c r="G21" s="521">
        <v>1</v>
      </c>
      <c r="H21" s="336" t="s">
        <v>1613</v>
      </c>
      <c r="I21" s="532"/>
      <c r="J21" s="337">
        <v>5000</v>
      </c>
      <c r="K21" s="338">
        <v>1</v>
      </c>
      <c r="L21" s="522">
        <v>5000</v>
      </c>
    </row>
    <row r="22" spans="1:17" ht="18" customHeight="1" x14ac:dyDescent="0.2">
      <c r="A22" s="517"/>
      <c r="B22" s="518" t="s">
        <v>95</v>
      </c>
      <c r="C22" s="519">
        <v>67561</v>
      </c>
      <c r="D22" s="520"/>
      <c r="E22" s="525"/>
      <c r="F22" s="526"/>
      <c r="G22" s="521">
        <v>0.5</v>
      </c>
      <c r="H22" s="336" t="s">
        <v>1613</v>
      </c>
      <c r="I22" s="532"/>
      <c r="J22" s="337">
        <v>2500</v>
      </c>
      <c r="K22" s="527"/>
      <c r="L22" s="522">
        <v>2500</v>
      </c>
    </row>
    <row r="23" spans="1:17" ht="18" customHeight="1" x14ac:dyDescent="0.2">
      <c r="A23" s="517"/>
      <c r="B23" s="518" t="s">
        <v>156</v>
      </c>
      <c r="C23" s="519">
        <v>98828</v>
      </c>
      <c r="D23" s="520"/>
      <c r="E23" s="525"/>
      <c r="F23" s="526"/>
      <c r="G23" s="521">
        <v>0.5</v>
      </c>
      <c r="H23" s="336" t="s">
        <v>1613</v>
      </c>
      <c r="I23" s="532"/>
      <c r="J23" s="337">
        <v>2500</v>
      </c>
      <c r="K23" s="527"/>
      <c r="L23" s="522">
        <v>2500</v>
      </c>
    </row>
    <row r="24" spans="1:17" ht="18" customHeight="1" x14ac:dyDescent="0.2">
      <c r="A24" s="517"/>
      <c r="B24" s="518" t="s">
        <v>160</v>
      </c>
      <c r="C24" s="519">
        <v>100414</v>
      </c>
      <c r="D24" s="520"/>
      <c r="E24" s="525"/>
      <c r="F24" s="526"/>
      <c r="G24" s="521">
        <v>0.25</v>
      </c>
      <c r="H24" s="336" t="s">
        <v>1613</v>
      </c>
      <c r="I24" s="532"/>
      <c r="J24" s="337">
        <v>1250</v>
      </c>
      <c r="K24" s="527"/>
      <c r="L24" s="522">
        <v>1250</v>
      </c>
    </row>
    <row r="25" spans="1:17" s="68" customFormat="1" ht="9" customHeight="1" thickBot="1" x14ac:dyDescent="0.3">
      <c r="A25" s="78"/>
      <c r="B25" s="78"/>
      <c r="C25" s="78"/>
      <c r="D25" s="78"/>
      <c r="E25" s="78"/>
      <c r="F25" s="78"/>
      <c r="G25" s="78"/>
      <c r="H25" s="78"/>
      <c r="I25" s="528"/>
      <c r="J25" s="78"/>
      <c r="K25" s="78"/>
      <c r="L25" s="78"/>
      <c r="M25" s="78"/>
      <c r="Q25" s="66"/>
    </row>
    <row r="26" spans="1:17" s="68" customFormat="1" ht="27.75" customHeight="1" thickBot="1" x14ac:dyDescent="0.3">
      <c r="A26" s="1241" t="s">
        <v>1443</v>
      </c>
      <c r="B26" s="1211"/>
      <c r="C26" s="1211"/>
      <c r="D26" s="1211"/>
      <c r="E26" s="1211"/>
      <c r="F26" s="1211"/>
      <c r="G26" s="1211"/>
      <c r="H26" s="1211"/>
      <c r="I26" s="1211"/>
      <c r="J26" s="1211"/>
      <c r="K26" s="1211"/>
      <c r="L26" s="1242"/>
      <c r="Q26" s="66"/>
    </row>
    <row r="27" spans="1:17" s="68" customFormat="1" ht="9" customHeight="1" thickBot="1" x14ac:dyDescent="0.3">
      <c r="A27" s="78"/>
      <c r="B27" s="78"/>
      <c r="C27" s="78"/>
      <c r="D27" s="78"/>
      <c r="E27" s="78"/>
      <c r="F27" s="78"/>
      <c r="G27" s="78"/>
      <c r="H27" s="78"/>
      <c r="I27" s="528"/>
      <c r="J27" s="78"/>
      <c r="K27" s="78"/>
      <c r="L27" s="78"/>
      <c r="M27" s="78"/>
      <c r="Q27" s="66"/>
    </row>
    <row r="28" spans="1:17" s="68" customFormat="1" ht="18" customHeight="1" thickBot="1" x14ac:dyDescent="0.3">
      <c r="A28" s="489" t="s">
        <v>1525</v>
      </c>
      <c r="B28" s="119"/>
      <c r="C28" s="68" t="s">
        <v>1530</v>
      </c>
      <c r="E28" s="78"/>
      <c r="F28" s="78"/>
      <c r="G28" s="78"/>
      <c r="I28" s="533"/>
      <c r="J28" s="489" t="s">
        <v>1527</v>
      </c>
      <c r="K28" s="490"/>
      <c r="L28" s="118">
        <f>B28*8.338</f>
        <v>0</v>
      </c>
      <c r="Q28" s="66"/>
    </row>
    <row r="29" spans="1:17" s="68" customFormat="1" ht="18" customHeight="1" thickBot="1" x14ac:dyDescent="0.3">
      <c r="A29" s="489" t="s">
        <v>1533</v>
      </c>
      <c r="B29" s="120"/>
      <c r="C29" s="68" t="s">
        <v>1534</v>
      </c>
      <c r="E29" s="78"/>
      <c r="G29" s="119"/>
      <c r="H29" s="68" t="s">
        <v>1535</v>
      </c>
      <c r="I29" s="533"/>
      <c r="J29" s="489" t="s">
        <v>1532</v>
      </c>
      <c r="K29" s="490"/>
      <c r="L29" s="118">
        <f>B29*G29*0.0078125</f>
        <v>0</v>
      </c>
      <c r="Q29" s="66"/>
    </row>
    <row r="30" spans="1:17" s="68" customFormat="1" ht="35.1" customHeight="1" thickBot="1" x14ac:dyDescent="0.3">
      <c r="A30" s="1277"/>
      <c r="B30" s="1277"/>
      <c r="C30" s="1277"/>
      <c r="D30" s="1277"/>
      <c r="E30" s="1277"/>
      <c r="F30" s="1277"/>
      <c r="G30" s="1277"/>
      <c r="H30" s="1277"/>
      <c r="I30" s="1277"/>
      <c r="J30" s="1277"/>
      <c r="K30" s="1277"/>
      <c r="L30" s="1277"/>
      <c r="M30" s="85"/>
      <c r="N30" s="85"/>
      <c r="Q30" s="66"/>
    </row>
    <row r="31" spans="1:17" s="77" customFormat="1" ht="19.5" thickBot="1" x14ac:dyDescent="0.3">
      <c r="A31" s="1211" t="s">
        <v>1422</v>
      </c>
      <c r="B31" s="1211"/>
      <c r="C31" s="1211"/>
      <c r="D31" s="1211"/>
      <c r="E31" s="1211"/>
      <c r="F31" s="1211"/>
      <c r="G31" s="1211"/>
      <c r="H31" s="1211"/>
      <c r="I31" s="1211"/>
      <c r="J31" s="1211"/>
      <c r="K31" s="1211"/>
      <c r="L31" s="1211"/>
      <c r="M31" s="90"/>
      <c r="N31" s="90"/>
      <c r="Q31" s="142"/>
    </row>
    <row r="32" spans="1:17" ht="60" customHeight="1" x14ac:dyDescent="0.2">
      <c r="A32" s="495"/>
      <c r="B32" s="495"/>
      <c r="C32" s="495"/>
      <c r="D32" s="495"/>
      <c r="E32" s="495"/>
      <c r="F32" s="495"/>
      <c r="G32" s="495"/>
      <c r="H32" s="495"/>
      <c r="I32" s="534"/>
      <c r="J32" s="495"/>
      <c r="K32" s="495"/>
      <c r="L32" s="495"/>
    </row>
    <row r="33" spans="1:31" s="48" customFormat="1" ht="30" customHeight="1" x14ac:dyDescent="0.25">
      <c r="A33" s="1347" t="s">
        <v>1405</v>
      </c>
      <c r="B33" s="1347"/>
      <c r="C33" s="1347"/>
      <c r="D33" s="1347"/>
      <c r="E33" s="1347"/>
      <c r="F33" s="1347"/>
      <c r="G33" s="1347"/>
      <c r="H33" s="1347"/>
      <c r="I33" s="1401" t="s">
        <v>254</v>
      </c>
      <c r="J33" s="1401"/>
      <c r="K33" s="1401"/>
      <c r="L33" s="1401"/>
      <c r="Q33" s="125"/>
      <c r="R33" s="139" t="b">
        <f>AND(NOT(ISBLANK(A38)),NOT(ISBLANK(B38)),NOT(ISBLANK(C38)),NOT(ISBLANK(E38)),NOT(ISBLANK(F38)),NOT(ISBLANK(G38)),NOT(ISBLANK(H38)),ISBLANK(I38))</f>
        <v>0</v>
      </c>
    </row>
    <row r="34" spans="1:31" s="48" customFormat="1" ht="24.95" customHeight="1" x14ac:dyDescent="0.25">
      <c r="A34" s="1002" t="s">
        <v>2280</v>
      </c>
      <c r="B34" s="1002"/>
      <c r="C34" s="1002"/>
      <c r="D34" s="1002"/>
      <c r="E34" s="1002"/>
      <c r="F34" s="1002"/>
      <c r="G34" s="1002"/>
      <c r="H34" s="1002"/>
      <c r="I34" s="1002"/>
      <c r="J34" s="1002"/>
      <c r="K34" s="1002"/>
      <c r="L34" s="1002"/>
      <c r="Q34" s="125"/>
      <c r="R34" s="139"/>
    </row>
    <row r="35" spans="1:31" ht="20.100000000000001" customHeight="1" thickBot="1" x14ac:dyDescent="0.3">
      <c r="A35" s="1402" t="s">
        <v>67</v>
      </c>
      <c r="B35" s="1402"/>
      <c r="C35" s="1402"/>
      <c r="D35" s="1402"/>
      <c r="E35" s="1402"/>
      <c r="F35" s="1402"/>
      <c r="G35" s="1402"/>
      <c r="H35" s="1402"/>
      <c r="I35" s="1402"/>
      <c r="J35" s="1402"/>
      <c r="K35" s="832"/>
      <c r="L35" s="843" t="str">
        <f>"Ver."&amp;" "&amp;TEXT(Introduction!$M$3,"MM/YYYY")</f>
        <v>Ver. 01/2025</v>
      </c>
    </row>
    <row r="36" spans="1:31" ht="30" customHeight="1" x14ac:dyDescent="0.25">
      <c r="A36" s="1393" t="s">
        <v>6</v>
      </c>
      <c r="B36" s="1395" t="s">
        <v>20</v>
      </c>
      <c r="C36" s="1397" t="s">
        <v>1406</v>
      </c>
      <c r="D36" s="1379" t="s">
        <v>1850</v>
      </c>
      <c r="E36" s="1397" t="s">
        <v>1607</v>
      </c>
      <c r="F36" s="1399" t="s">
        <v>1555</v>
      </c>
      <c r="G36" s="1397" t="s">
        <v>1614</v>
      </c>
      <c r="H36" s="1399" t="s">
        <v>1608</v>
      </c>
      <c r="I36" s="814" t="s">
        <v>9</v>
      </c>
      <c r="J36" s="815" t="s">
        <v>22</v>
      </c>
      <c r="K36" s="816" t="s">
        <v>12</v>
      </c>
      <c r="L36" s="817" t="s">
        <v>21</v>
      </c>
      <c r="P36" s="100" t="s">
        <v>68</v>
      </c>
      <c r="Q36" s="141" t="s">
        <v>1555</v>
      </c>
      <c r="R36" s="100" t="s">
        <v>1615</v>
      </c>
      <c r="S36" s="100" t="s">
        <v>1616</v>
      </c>
      <c r="AC36" s="483" t="s">
        <v>1826</v>
      </c>
      <c r="AD36" s="483"/>
      <c r="AE36" s="483"/>
    </row>
    <row r="37" spans="1:31" ht="15.75" customHeight="1" thickBot="1" x14ac:dyDescent="0.25">
      <c r="A37" s="1394"/>
      <c r="B37" s="1396"/>
      <c r="C37" s="1398"/>
      <c r="D37" s="1380"/>
      <c r="E37" s="1398"/>
      <c r="F37" s="1400"/>
      <c r="G37" s="1398"/>
      <c r="H37" s="1400"/>
      <c r="I37" s="818" t="s">
        <v>10</v>
      </c>
      <c r="J37" s="819" t="s">
        <v>15</v>
      </c>
      <c r="K37" s="820" t="s">
        <v>17</v>
      </c>
      <c r="L37" s="821" t="s">
        <v>15</v>
      </c>
      <c r="W37" s="100" t="s">
        <v>1555</v>
      </c>
      <c r="Z37" s="100" t="s">
        <v>1609</v>
      </c>
      <c r="AC37" s="100">
        <v>171</v>
      </c>
      <c r="AD37" s="100">
        <f t="shared" ref="AD37:AD68" si="0">SUMIF($C$38:$C$69,AC37,$L$38:$L$69)</f>
        <v>0</v>
      </c>
    </row>
    <row r="38" spans="1:31" ht="18" customHeight="1" x14ac:dyDescent="0.2">
      <c r="A38" s="367"/>
      <c r="B38" s="368"/>
      <c r="C38" s="369"/>
      <c r="D38" s="506"/>
      <c r="E38" s="370"/>
      <c r="F38" s="342"/>
      <c r="G38" s="371"/>
      <c r="H38" s="345"/>
      <c r="I38" s="535"/>
      <c r="J38" s="346" t="str">
        <f t="shared" ref="J38:J69" si="1">IFERROR(IF(ISBLANK(H38),"",IF(AND(Q38="POUNDS",H38="WEIGHT %"),P38*(G38/100),IF(AND(Q38="POUNDS",H38="LBS/GALLON"),P38*(G38/R38),IF(Q38="GALLONS",IF(H38="LBS/GALLON",P38*G38,IF(AND(H38="WEIGHT %",R38&gt;0),P38*R38*(G38/100),"")))))),"")</f>
        <v/>
      </c>
      <c r="K38" s="347"/>
      <c r="L38" s="372" t="str">
        <f>IF(NOT(ISNUMBER(J38)),"",IF(S38&gt;0,J38*S38,""))</f>
        <v/>
      </c>
      <c r="N38" s="155"/>
      <c r="P38" s="435">
        <f>IF(AND(NOT(ISBLANK(A38)),NOT(ISBLANK(B38)),NOT(ISBLANK(C38)),E38&gt;0),E38,IF(AND(ISBLANK(A38),NOT(ISBLANK(B38)),NOT(ISBLANK(C38))),P37,0))</f>
        <v>0</v>
      </c>
      <c r="Q38" s="141" t="str">
        <f>IF(AND(NOT(ISBLANK(A38)),NOT(ISBLANK(B38)),NOT(ISBLANK(C38)),NOT(ISBLANK(F38))),F38,IF(AND(ISBLANK(A38),NOT(ISBLANK(B38)),NOT(ISBLANK(C38))),Q37,""))</f>
        <v/>
      </c>
      <c r="R38" s="100">
        <f>IF(AND(NOT(ISBLANK(A38)),NOT(ISBLANK(B38)),NOT(ISBLANK(C38)),I38&gt;0),I38,IF(AND(ISBLANK(A38),NOT(ISBLANK(B38)),NOT(ISBLANK(C38))),R37,0))</f>
        <v>0</v>
      </c>
      <c r="S38" s="143">
        <f>IF(AND(NOT(ISBLANK(A38)),NOT(ISBLANK(B38)),NOT(ISBLANK(C38)),K38&gt;0),K38,IF(AND(ISBLANK(A38),NOT(ISBLANK(B38)),NOT(ISBLANK(C38))),S37,0))</f>
        <v>0</v>
      </c>
      <c r="W38" s="100" t="s">
        <v>1610</v>
      </c>
      <c r="Z38" s="100" t="s">
        <v>1612</v>
      </c>
      <c r="AC38" s="100">
        <v>50000</v>
      </c>
      <c r="AD38" s="100">
        <f t="shared" si="0"/>
        <v>0</v>
      </c>
    </row>
    <row r="39" spans="1:31" ht="18" customHeight="1" x14ac:dyDescent="0.2">
      <c r="A39" s="373"/>
      <c r="B39" s="374"/>
      <c r="C39" s="375"/>
      <c r="D39" s="507"/>
      <c r="E39" s="376"/>
      <c r="F39" s="351"/>
      <c r="G39" s="377"/>
      <c r="H39" s="354"/>
      <c r="I39" s="536"/>
      <c r="J39" s="355" t="str">
        <f t="shared" si="1"/>
        <v/>
      </c>
      <c r="K39" s="356"/>
      <c r="L39" s="378" t="str">
        <f t="shared" ref="L39:L69" si="2">IF(NOT(ISNUMBER(J39)),"",IF(S39&gt;0,J39*S39,""))</f>
        <v/>
      </c>
      <c r="N39" s="155"/>
      <c r="P39" s="435">
        <f t="shared" ref="P39:P69" si="3">IF(AND(NOT(ISBLANK(A39)),NOT(ISBLANK(B39)),NOT(ISBLANK(C39)),E39&gt;0),E39,IF(AND(ISBLANK(A39),NOT(ISBLANK(B39)),NOT(ISBLANK(C39))),P38,0))</f>
        <v>0</v>
      </c>
      <c r="Q39" s="141" t="str">
        <f>IF(AND(NOT(ISBLANK(A39)),NOT(ISBLANK(B39)),NOT(ISBLANK(C39)),NOT(ISBLANK(F39))),F39,IF(AND(ISBLANK(A39),NOT(ISBLANK(B39)),NOT(ISBLANK(C39))),Q38,""))</f>
        <v/>
      </c>
      <c r="R39" s="100">
        <f t="shared" ref="R39:R69" si="4">IF(AND(NOT(ISBLANK(A39)),NOT(ISBLANK(B39)),NOT(ISBLANK(C39)),I39&gt;0),I39,IF(AND(ISBLANK(A39),NOT(ISBLANK(B39)),NOT(ISBLANK(C39))),R38,0))</f>
        <v>0</v>
      </c>
      <c r="S39" s="143">
        <f t="shared" ref="S39:S69" si="5">IF(AND(NOT(ISBLANK(A39)),NOT(ISBLANK(B39)),NOT(ISBLANK(C39)),K39&gt;0),K39,IF(AND(ISBLANK(A39),NOT(ISBLANK(B39)),NOT(ISBLANK(C39))),S38,0))</f>
        <v>0</v>
      </c>
      <c r="W39" s="100" t="s">
        <v>1611</v>
      </c>
      <c r="Z39" s="100" t="s">
        <v>1613</v>
      </c>
      <c r="AC39" s="100">
        <v>51285</v>
      </c>
      <c r="AD39" s="100">
        <f t="shared" si="0"/>
        <v>0</v>
      </c>
    </row>
    <row r="40" spans="1:31" ht="18" customHeight="1" x14ac:dyDescent="0.2">
      <c r="A40" s="373"/>
      <c r="B40" s="374"/>
      <c r="C40" s="375"/>
      <c r="D40" s="507"/>
      <c r="E40" s="376"/>
      <c r="F40" s="351"/>
      <c r="G40" s="377"/>
      <c r="H40" s="354"/>
      <c r="I40" s="536"/>
      <c r="J40" s="355" t="str">
        <f t="shared" si="1"/>
        <v/>
      </c>
      <c r="K40" s="356"/>
      <c r="L40" s="378" t="str">
        <f t="shared" si="2"/>
        <v/>
      </c>
      <c r="N40" s="155"/>
      <c r="P40" s="435">
        <f t="shared" si="3"/>
        <v>0</v>
      </c>
      <c r="Q40" s="141" t="str">
        <f t="shared" ref="Q40:Q69" si="6">IF(AND(NOT(ISBLANK(A40)),NOT(ISBLANK(B40)),NOT(ISBLANK(C40)),NOT(ISBLANK(F40))),F40,IF(AND(ISBLANK(A40),NOT(ISBLANK(B40)),NOT(ISBLANK(C40))),Q39,""))</f>
        <v/>
      </c>
      <c r="R40" s="100">
        <f t="shared" si="4"/>
        <v>0</v>
      </c>
      <c r="S40" s="143">
        <f t="shared" si="5"/>
        <v>0</v>
      </c>
      <c r="AC40" s="100">
        <v>51796</v>
      </c>
      <c r="AD40" s="100">
        <f t="shared" si="0"/>
        <v>0</v>
      </c>
    </row>
    <row r="41" spans="1:31" ht="18" customHeight="1" x14ac:dyDescent="0.2">
      <c r="A41" s="373"/>
      <c r="B41" s="374"/>
      <c r="C41" s="375"/>
      <c r="D41" s="507"/>
      <c r="E41" s="376"/>
      <c r="F41" s="351"/>
      <c r="G41" s="377"/>
      <c r="H41" s="354"/>
      <c r="I41" s="536"/>
      <c r="J41" s="355" t="str">
        <f t="shared" si="1"/>
        <v/>
      </c>
      <c r="K41" s="356"/>
      <c r="L41" s="378" t="str">
        <f t="shared" si="2"/>
        <v/>
      </c>
      <c r="N41" s="155"/>
      <c r="P41" s="435">
        <f t="shared" si="3"/>
        <v>0</v>
      </c>
      <c r="Q41" s="141" t="str">
        <f t="shared" si="6"/>
        <v/>
      </c>
      <c r="R41" s="100">
        <f t="shared" si="4"/>
        <v>0</v>
      </c>
      <c r="S41" s="143">
        <f t="shared" si="5"/>
        <v>0</v>
      </c>
      <c r="AC41" s="100">
        <v>53963</v>
      </c>
      <c r="AD41" s="100">
        <f t="shared" si="0"/>
        <v>0</v>
      </c>
    </row>
    <row r="42" spans="1:31" ht="18" customHeight="1" x14ac:dyDescent="0.2">
      <c r="A42" s="373"/>
      <c r="B42" s="374"/>
      <c r="C42" s="375"/>
      <c r="D42" s="507"/>
      <c r="E42" s="376"/>
      <c r="F42" s="351"/>
      <c r="G42" s="377"/>
      <c r="H42" s="354"/>
      <c r="I42" s="536"/>
      <c r="J42" s="355" t="str">
        <f t="shared" si="1"/>
        <v/>
      </c>
      <c r="K42" s="356"/>
      <c r="L42" s="378" t="str">
        <f t="shared" si="2"/>
        <v/>
      </c>
      <c r="N42" s="155"/>
      <c r="P42" s="435">
        <f t="shared" si="3"/>
        <v>0</v>
      </c>
      <c r="Q42" s="141" t="str">
        <f t="shared" si="6"/>
        <v/>
      </c>
      <c r="R42" s="100">
        <f t="shared" si="4"/>
        <v>0</v>
      </c>
      <c r="S42" s="143">
        <f t="shared" si="5"/>
        <v>0</v>
      </c>
      <c r="AC42" s="100">
        <v>56235</v>
      </c>
      <c r="AD42" s="100">
        <f t="shared" si="0"/>
        <v>0</v>
      </c>
    </row>
    <row r="43" spans="1:31" ht="18" customHeight="1" x14ac:dyDescent="0.2">
      <c r="A43" s="373"/>
      <c r="B43" s="374"/>
      <c r="C43" s="375"/>
      <c r="D43" s="507"/>
      <c r="E43" s="376"/>
      <c r="F43" s="351"/>
      <c r="G43" s="377"/>
      <c r="H43" s="354"/>
      <c r="I43" s="536"/>
      <c r="J43" s="355" t="str">
        <f t="shared" si="1"/>
        <v/>
      </c>
      <c r="K43" s="356"/>
      <c r="L43" s="378" t="str">
        <f t="shared" si="2"/>
        <v/>
      </c>
      <c r="N43" s="155"/>
      <c r="P43" s="435">
        <f t="shared" si="3"/>
        <v>0</v>
      </c>
      <c r="Q43" s="141" t="str">
        <f t="shared" si="6"/>
        <v/>
      </c>
      <c r="R43" s="100">
        <f t="shared" si="4"/>
        <v>0</v>
      </c>
      <c r="S43" s="143">
        <f t="shared" si="5"/>
        <v>0</v>
      </c>
      <c r="AC43" s="100">
        <v>56382</v>
      </c>
      <c r="AD43" s="100">
        <f t="shared" si="0"/>
        <v>0</v>
      </c>
    </row>
    <row r="44" spans="1:31" ht="18" customHeight="1" x14ac:dyDescent="0.2">
      <c r="A44" s="373"/>
      <c r="B44" s="374"/>
      <c r="C44" s="375"/>
      <c r="D44" s="507"/>
      <c r="E44" s="376"/>
      <c r="F44" s="351"/>
      <c r="G44" s="377"/>
      <c r="H44" s="354"/>
      <c r="I44" s="536"/>
      <c r="J44" s="355" t="str">
        <f t="shared" si="1"/>
        <v/>
      </c>
      <c r="K44" s="356"/>
      <c r="L44" s="378" t="str">
        <f t="shared" si="2"/>
        <v/>
      </c>
      <c r="N44" s="155"/>
      <c r="P44" s="435">
        <f t="shared" si="3"/>
        <v>0</v>
      </c>
      <c r="Q44" s="141" t="str">
        <f t="shared" si="6"/>
        <v/>
      </c>
      <c r="R44" s="100">
        <f t="shared" si="4"/>
        <v>0</v>
      </c>
      <c r="S44" s="143">
        <f t="shared" si="5"/>
        <v>0</v>
      </c>
      <c r="AC44" s="100">
        <v>57125</v>
      </c>
      <c r="AD44" s="100">
        <f t="shared" si="0"/>
        <v>0</v>
      </c>
    </row>
    <row r="45" spans="1:31" ht="18" customHeight="1" x14ac:dyDescent="0.2">
      <c r="A45" s="373"/>
      <c r="B45" s="374"/>
      <c r="C45" s="375"/>
      <c r="D45" s="507"/>
      <c r="E45" s="376"/>
      <c r="F45" s="351"/>
      <c r="G45" s="377"/>
      <c r="H45" s="354"/>
      <c r="I45" s="536"/>
      <c r="J45" s="355" t="str">
        <f t="shared" si="1"/>
        <v/>
      </c>
      <c r="K45" s="356"/>
      <c r="L45" s="378" t="str">
        <f t="shared" si="2"/>
        <v/>
      </c>
      <c r="N45" s="155"/>
      <c r="P45" s="435">
        <f t="shared" si="3"/>
        <v>0</v>
      </c>
      <c r="Q45" s="141" t="str">
        <f t="shared" si="6"/>
        <v/>
      </c>
      <c r="R45" s="100">
        <f t="shared" si="4"/>
        <v>0</v>
      </c>
      <c r="S45" s="143">
        <f t="shared" si="5"/>
        <v>0</v>
      </c>
      <c r="AC45" s="100">
        <v>57147</v>
      </c>
      <c r="AD45" s="100">
        <f t="shared" si="0"/>
        <v>0</v>
      </c>
    </row>
    <row r="46" spans="1:31" ht="18" customHeight="1" x14ac:dyDescent="0.2">
      <c r="A46" s="373"/>
      <c r="B46" s="374"/>
      <c r="C46" s="375"/>
      <c r="D46" s="507"/>
      <c r="E46" s="376"/>
      <c r="F46" s="351"/>
      <c r="G46" s="377"/>
      <c r="H46" s="354"/>
      <c r="I46" s="536"/>
      <c r="J46" s="355" t="str">
        <f t="shared" si="1"/>
        <v/>
      </c>
      <c r="K46" s="356"/>
      <c r="L46" s="378" t="str">
        <f t="shared" si="2"/>
        <v/>
      </c>
      <c r="N46" s="155"/>
      <c r="P46" s="435">
        <f t="shared" si="3"/>
        <v>0</v>
      </c>
      <c r="Q46" s="141" t="str">
        <f t="shared" si="6"/>
        <v/>
      </c>
      <c r="R46" s="100">
        <f t="shared" si="4"/>
        <v>0</v>
      </c>
      <c r="S46" s="143">
        <f t="shared" si="5"/>
        <v>0</v>
      </c>
      <c r="AC46" s="100">
        <v>57578</v>
      </c>
      <c r="AD46" s="100">
        <f t="shared" si="0"/>
        <v>0</v>
      </c>
    </row>
    <row r="47" spans="1:31" ht="18" customHeight="1" x14ac:dyDescent="0.2">
      <c r="A47" s="373"/>
      <c r="B47" s="374"/>
      <c r="C47" s="375"/>
      <c r="D47" s="507"/>
      <c r="E47" s="376"/>
      <c r="F47" s="351"/>
      <c r="G47" s="377"/>
      <c r="H47" s="354"/>
      <c r="I47" s="536"/>
      <c r="J47" s="355" t="str">
        <f t="shared" si="1"/>
        <v/>
      </c>
      <c r="K47" s="356"/>
      <c r="L47" s="378" t="str">
        <f t="shared" si="2"/>
        <v/>
      </c>
      <c r="N47" s="155"/>
      <c r="P47" s="435">
        <f t="shared" si="3"/>
        <v>0</v>
      </c>
      <c r="Q47" s="141" t="str">
        <f t="shared" si="6"/>
        <v/>
      </c>
      <c r="R47" s="100">
        <f t="shared" si="4"/>
        <v>0</v>
      </c>
      <c r="S47" s="143">
        <f t="shared" si="5"/>
        <v>0</v>
      </c>
      <c r="W47" s="100" t="b">
        <f>AND(NOT(ISBLANK(C38)),IFERROR(MATCH(C38,$AC$37:$AC$219,0),TRUE))</f>
        <v>0</v>
      </c>
      <c r="AC47" s="100">
        <v>57749</v>
      </c>
      <c r="AD47" s="100">
        <f t="shared" si="0"/>
        <v>0</v>
      </c>
    </row>
    <row r="48" spans="1:31" ht="18" customHeight="1" x14ac:dyDescent="0.2">
      <c r="A48" s="373"/>
      <c r="B48" s="374"/>
      <c r="C48" s="375"/>
      <c r="D48" s="507"/>
      <c r="E48" s="376"/>
      <c r="F48" s="351"/>
      <c r="G48" s="377"/>
      <c r="H48" s="354"/>
      <c r="I48" s="536"/>
      <c r="J48" s="355" t="str">
        <f t="shared" si="1"/>
        <v/>
      </c>
      <c r="K48" s="356"/>
      <c r="L48" s="378" t="str">
        <f t="shared" si="2"/>
        <v/>
      </c>
      <c r="N48" s="155"/>
      <c r="P48" s="435">
        <f t="shared" si="3"/>
        <v>0</v>
      </c>
      <c r="Q48" s="141" t="str">
        <f t="shared" si="6"/>
        <v/>
      </c>
      <c r="R48" s="100">
        <f t="shared" si="4"/>
        <v>0</v>
      </c>
      <c r="S48" s="143">
        <f t="shared" si="5"/>
        <v>0</v>
      </c>
      <c r="AC48" s="100">
        <v>58899</v>
      </c>
      <c r="AD48" s="100">
        <f t="shared" si="0"/>
        <v>0</v>
      </c>
    </row>
    <row r="49" spans="1:30" ht="18" customHeight="1" x14ac:dyDescent="0.2">
      <c r="A49" s="373"/>
      <c r="B49" s="374"/>
      <c r="C49" s="375"/>
      <c r="D49" s="507"/>
      <c r="E49" s="376"/>
      <c r="F49" s="351"/>
      <c r="G49" s="377"/>
      <c r="H49" s="354"/>
      <c r="I49" s="536"/>
      <c r="J49" s="355" t="str">
        <f t="shared" si="1"/>
        <v/>
      </c>
      <c r="K49" s="356"/>
      <c r="L49" s="378" t="str">
        <f t="shared" si="2"/>
        <v/>
      </c>
      <c r="N49" s="155"/>
      <c r="P49" s="435">
        <f t="shared" si="3"/>
        <v>0</v>
      </c>
      <c r="Q49" s="141" t="str">
        <f t="shared" si="6"/>
        <v/>
      </c>
      <c r="R49" s="100">
        <f t="shared" si="4"/>
        <v>0</v>
      </c>
      <c r="S49" s="143">
        <f t="shared" si="5"/>
        <v>0</v>
      </c>
      <c r="AC49" s="100">
        <v>59892</v>
      </c>
      <c r="AD49" s="100">
        <f t="shared" si="0"/>
        <v>0</v>
      </c>
    </row>
    <row r="50" spans="1:30" ht="18" customHeight="1" x14ac:dyDescent="0.2">
      <c r="A50" s="373"/>
      <c r="B50" s="374"/>
      <c r="C50" s="375"/>
      <c r="D50" s="507"/>
      <c r="E50" s="376"/>
      <c r="F50" s="351"/>
      <c r="G50" s="377"/>
      <c r="H50" s="354"/>
      <c r="I50" s="536"/>
      <c r="J50" s="355" t="str">
        <f t="shared" si="1"/>
        <v/>
      </c>
      <c r="K50" s="356"/>
      <c r="L50" s="378" t="str">
        <f t="shared" si="2"/>
        <v/>
      </c>
      <c r="N50" s="155"/>
      <c r="P50" s="435">
        <f t="shared" si="3"/>
        <v>0</v>
      </c>
      <c r="Q50" s="141" t="str">
        <f t="shared" si="6"/>
        <v/>
      </c>
      <c r="R50" s="100">
        <f t="shared" si="4"/>
        <v>0</v>
      </c>
      <c r="S50" s="143">
        <f t="shared" si="5"/>
        <v>0</v>
      </c>
      <c r="AC50" s="100">
        <v>60117</v>
      </c>
      <c r="AD50" s="100">
        <f t="shared" si="0"/>
        <v>0</v>
      </c>
    </row>
    <row r="51" spans="1:30" ht="18" customHeight="1" x14ac:dyDescent="0.2">
      <c r="A51" s="373"/>
      <c r="B51" s="374"/>
      <c r="C51" s="375"/>
      <c r="D51" s="507"/>
      <c r="E51" s="376"/>
      <c r="F51" s="351"/>
      <c r="G51" s="377"/>
      <c r="H51" s="354"/>
      <c r="I51" s="536"/>
      <c r="J51" s="355" t="str">
        <f t="shared" si="1"/>
        <v/>
      </c>
      <c r="K51" s="356"/>
      <c r="L51" s="378" t="str">
        <f t="shared" si="2"/>
        <v/>
      </c>
      <c r="N51" s="155"/>
      <c r="P51" s="435">
        <f t="shared" si="3"/>
        <v>0</v>
      </c>
      <c r="Q51" s="141" t="str">
        <f t="shared" si="6"/>
        <v/>
      </c>
      <c r="R51" s="100">
        <f t="shared" si="4"/>
        <v>0</v>
      </c>
      <c r="S51" s="143">
        <f t="shared" si="5"/>
        <v>0</v>
      </c>
      <c r="AC51" s="100">
        <v>60344</v>
      </c>
      <c r="AD51" s="100">
        <f t="shared" si="0"/>
        <v>0</v>
      </c>
    </row>
    <row r="52" spans="1:30" ht="18" customHeight="1" x14ac:dyDescent="0.2">
      <c r="A52" s="373"/>
      <c r="B52" s="374"/>
      <c r="C52" s="375"/>
      <c r="D52" s="507"/>
      <c r="E52" s="376"/>
      <c r="F52" s="351"/>
      <c r="G52" s="377"/>
      <c r="H52" s="354"/>
      <c r="I52" s="536"/>
      <c r="J52" s="355" t="str">
        <f t="shared" si="1"/>
        <v/>
      </c>
      <c r="K52" s="356"/>
      <c r="L52" s="378" t="str">
        <f t="shared" si="2"/>
        <v/>
      </c>
      <c r="N52" s="155"/>
      <c r="P52" s="435">
        <f t="shared" si="3"/>
        <v>0</v>
      </c>
      <c r="Q52" s="141" t="str">
        <f t="shared" si="6"/>
        <v/>
      </c>
      <c r="R52" s="100">
        <f t="shared" si="4"/>
        <v>0</v>
      </c>
      <c r="S52" s="143">
        <f t="shared" si="5"/>
        <v>0</v>
      </c>
      <c r="AC52" s="100">
        <v>60355</v>
      </c>
      <c r="AD52" s="100">
        <f t="shared" si="0"/>
        <v>0</v>
      </c>
    </row>
    <row r="53" spans="1:30" ht="18" customHeight="1" x14ac:dyDescent="0.2">
      <c r="A53" s="373"/>
      <c r="B53" s="374"/>
      <c r="C53" s="375"/>
      <c r="D53" s="507"/>
      <c r="E53" s="376"/>
      <c r="F53" s="351"/>
      <c r="G53" s="377"/>
      <c r="H53" s="354"/>
      <c r="I53" s="536"/>
      <c r="J53" s="355" t="str">
        <f t="shared" si="1"/>
        <v/>
      </c>
      <c r="K53" s="356"/>
      <c r="L53" s="378" t="str">
        <f t="shared" si="2"/>
        <v/>
      </c>
      <c r="N53" s="155"/>
      <c r="P53" s="435">
        <f t="shared" si="3"/>
        <v>0</v>
      </c>
      <c r="Q53" s="141" t="str">
        <f t="shared" si="6"/>
        <v/>
      </c>
      <c r="R53" s="100">
        <f t="shared" si="4"/>
        <v>0</v>
      </c>
      <c r="S53" s="143">
        <f t="shared" si="5"/>
        <v>0</v>
      </c>
      <c r="AC53" s="100">
        <v>62533</v>
      </c>
      <c r="AD53" s="100">
        <f t="shared" si="0"/>
        <v>0</v>
      </c>
    </row>
    <row r="54" spans="1:30" ht="18" customHeight="1" x14ac:dyDescent="0.2">
      <c r="A54" s="373"/>
      <c r="B54" s="374"/>
      <c r="C54" s="375"/>
      <c r="D54" s="507"/>
      <c r="E54" s="376"/>
      <c r="F54" s="351"/>
      <c r="G54" s="377"/>
      <c r="H54" s="354"/>
      <c r="I54" s="536"/>
      <c r="J54" s="355" t="str">
        <f t="shared" si="1"/>
        <v/>
      </c>
      <c r="K54" s="356"/>
      <c r="L54" s="378" t="str">
        <f t="shared" si="2"/>
        <v/>
      </c>
      <c r="N54" s="155"/>
      <c r="P54" s="435">
        <f t="shared" si="3"/>
        <v>0</v>
      </c>
      <c r="Q54" s="141" t="str">
        <f t="shared" si="6"/>
        <v/>
      </c>
      <c r="R54" s="100">
        <f t="shared" si="4"/>
        <v>0</v>
      </c>
      <c r="S54" s="143">
        <f t="shared" si="5"/>
        <v>0</v>
      </c>
      <c r="AC54" s="100">
        <v>62737</v>
      </c>
      <c r="AD54" s="100">
        <f t="shared" si="0"/>
        <v>0</v>
      </c>
    </row>
    <row r="55" spans="1:30" ht="18" customHeight="1" x14ac:dyDescent="0.2">
      <c r="A55" s="373"/>
      <c r="B55" s="374"/>
      <c r="C55" s="375"/>
      <c r="D55" s="507"/>
      <c r="E55" s="376"/>
      <c r="F55" s="351"/>
      <c r="G55" s="377"/>
      <c r="H55" s="354"/>
      <c r="I55" s="536"/>
      <c r="J55" s="355" t="str">
        <f t="shared" si="1"/>
        <v/>
      </c>
      <c r="K55" s="356"/>
      <c r="L55" s="378" t="str">
        <f t="shared" si="2"/>
        <v/>
      </c>
      <c r="N55" s="155"/>
      <c r="P55" s="435">
        <f t="shared" si="3"/>
        <v>0</v>
      </c>
      <c r="Q55" s="141" t="str">
        <f t="shared" si="6"/>
        <v/>
      </c>
      <c r="R55" s="100">
        <f t="shared" si="4"/>
        <v>0</v>
      </c>
      <c r="S55" s="143">
        <f t="shared" si="5"/>
        <v>0</v>
      </c>
      <c r="AC55" s="100">
        <v>62759</v>
      </c>
      <c r="AD55" s="100">
        <f t="shared" si="0"/>
        <v>0</v>
      </c>
    </row>
    <row r="56" spans="1:30" ht="18" customHeight="1" x14ac:dyDescent="0.2">
      <c r="A56" s="373"/>
      <c r="B56" s="374"/>
      <c r="C56" s="375"/>
      <c r="D56" s="507"/>
      <c r="E56" s="376"/>
      <c r="F56" s="351"/>
      <c r="G56" s="377"/>
      <c r="H56" s="354"/>
      <c r="I56" s="536"/>
      <c r="J56" s="355" t="str">
        <f t="shared" si="1"/>
        <v/>
      </c>
      <c r="K56" s="356"/>
      <c r="L56" s="378" t="str">
        <f t="shared" si="2"/>
        <v/>
      </c>
      <c r="N56" s="155"/>
      <c r="P56" s="435">
        <f t="shared" si="3"/>
        <v>0</v>
      </c>
      <c r="Q56" s="141" t="str">
        <f t="shared" si="6"/>
        <v/>
      </c>
      <c r="R56" s="100">
        <f t="shared" si="4"/>
        <v>0</v>
      </c>
      <c r="S56" s="143">
        <f t="shared" si="5"/>
        <v>0</v>
      </c>
      <c r="AC56" s="100">
        <v>63252</v>
      </c>
      <c r="AD56" s="100">
        <f t="shared" si="0"/>
        <v>0</v>
      </c>
    </row>
    <row r="57" spans="1:30" ht="18" customHeight="1" x14ac:dyDescent="0.2">
      <c r="A57" s="373"/>
      <c r="B57" s="374"/>
      <c r="C57" s="375"/>
      <c r="D57" s="507"/>
      <c r="E57" s="376"/>
      <c r="F57" s="351"/>
      <c r="G57" s="377"/>
      <c r="H57" s="354"/>
      <c r="I57" s="536"/>
      <c r="J57" s="355" t="str">
        <f t="shared" si="1"/>
        <v/>
      </c>
      <c r="K57" s="356"/>
      <c r="L57" s="378" t="str">
        <f t="shared" si="2"/>
        <v/>
      </c>
      <c r="N57" s="155"/>
      <c r="P57" s="435">
        <f t="shared" si="3"/>
        <v>0</v>
      </c>
      <c r="Q57" s="141" t="str">
        <f t="shared" si="6"/>
        <v/>
      </c>
      <c r="R57" s="100">
        <f t="shared" si="4"/>
        <v>0</v>
      </c>
      <c r="S57" s="143">
        <f t="shared" si="5"/>
        <v>0</v>
      </c>
      <c r="AC57" s="100">
        <v>64675</v>
      </c>
      <c r="AD57" s="100">
        <f t="shared" si="0"/>
        <v>0</v>
      </c>
    </row>
    <row r="58" spans="1:30" ht="18" customHeight="1" x14ac:dyDescent="0.2">
      <c r="A58" s="373"/>
      <c r="B58" s="374"/>
      <c r="C58" s="375"/>
      <c r="D58" s="507"/>
      <c r="E58" s="376"/>
      <c r="F58" s="351"/>
      <c r="G58" s="377"/>
      <c r="H58" s="354"/>
      <c r="I58" s="536"/>
      <c r="J58" s="355" t="str">
        <f t="shared" si="1"/>
        <v/>
      </c>
      <c r="K58" s="356"/>
      <c r="L58" s="378" t="str">
        <f t="shared" si="2"/>
        <v/>
      </c>
      <c r="N58" s="155"/>
      <c r="P58" s="435">
        <f t="shared" si="3"/>
        <v>0</v>
      </c>
      <c r="Q58" s="141" t="str">
        <f t="shared" si="6"/>
        <v/>
      </c>
      <c r="R58" s="100">
        <f t="shared" si="4"/>
        <v>0</v>
      </c>
      <c r="S58" s="143">
        <f t="shared" si="5"/>
        <v>0</v>
      </c>
      <c r="AC58" s="100">
        <v>67561</v>
      </c>
      <c r="AD58" s="100">
        <f t="shared" si="0"/>
        <v>0</v>
      </c>
    </row>
    <row r="59" spans="1:30" ht="18" customHeight="1" x14ac:dyDescent="0.2">
      <c r="A59" s="373"/>
      <c r="B59" s="374"/>
      <c r="C59" s="375"/>
      <c r="D59" s="507"/>
      <c r="E59" s="376"/>
      <c r="F59" s="351"/>
      <c r="G59" s="377"/>
      <c r="H59" s="354"/>
      <c r="I59" s="536"/>
      <c r="J59" s="355" t="str">
        <f t="shared" si="1"/>
        <v/>
      </c>
      <c r="K59" s="356"/>
      <c r="L59" s="378" t="str">
        <f t="shared" si="2"/>
        <v/>
      </c>
      <c r="N59" s="155"/>
      <c r="P59" s="435">
        <f t="shared" si="3"/>
        <v>0</v>
      </c>
      <c r="Q59" s="141" t="str">
        <f t="shared" si="6"/>
        <v/>
      </c>
      <c r="R59" s="100">
        <f t="shared" si="4"/>
        <v>0</v>
      </c>
      <c r="S59" s="143">
        <f t="shared" si="5"/>
        <v>0</v>
      </c>
      <c r="AC59" s="100">
        <v>67663</v>
      </c>
      <c r="AD59" s="100">
        <f t="shared" si="0"/>
        <v>0</v>
      </c>
    </row>
    <row r="60" spans="1:30" ht="18" customHeight="1" x14ac:dyDescent="0.2">
      <c r="A60" s="373"/>
      <c r="B60" s="374"/>
      <c r="C60" s="375"/>
      <c r="D60" s="507"/>
      <c r="E60" s="376"/>
      <c r="F60" s="351"/>
      <c r="G60" s="377"/>
      <c r="H60" s="354"/>
      <c r="I60" s="536"/>
      <c r="J60" s="355" t="str">
        <f t="shared" si="1"/>
        <v/>
      </c>
      <c r="K60" s="356"/>
      <c r="L60" s="378" t="str">
        <f t="shared" si="2"/>
        <v/>
      </c>
      <c r="N60" s="155"/>
      <c r="P60" s="435">
        <f t="shared" si="3"/>
        <v>0</v>
      </c>
      <c r="Q60" s="141" t="str">
        <f t="shared" si="6"/>
        <v/>
      </c>
      <c r="R60" s="100">
        <f t="shared" si="4"/>
        <v>0</v>
      </c>
      <c r="S60" s="143">
        <f t="shared" si="5"/>
        <v>0</v>
      </c>
      <c r="AC60" s="100">
        <v>67721</v>
      </c>
      <c r="AD60" s="100">
        <f t="shared" si="0"/>
        <v>0</v>
      </c>
    </row>
    <row r="61" spans="1:30" ht="18" customHeight="1" x14ac:dyDescent="0.2">
      <c r="A61" s="373"/>
      <c r="B61" s="374"/>
      <c r="C61" s="375"/>
      <c r="D61" s="507"/>
      <c r="E61" s="376"/>
      <c r="F61" s="351"/>
      <c r="G61" s="377"/>
      <c r="H61" s="354"/>
      <c r="I61" s="536"/>
      <c r="J61" s="355" t="str">
        <f t="shared" si="1"/>
        <v/>
      </c>
      <c r="K61" s="356"/>
      <c r="L61" s="378" t="str">
        <f t="shared" si="2"/>
        <v/>
      </c>
      <c r="N61" s="155"/>
      <c r="P61" s="435">
        <f t="shared" si="3"/>
        <v>0</v>
      </c>
      <c r="Q61" s="141" t="str">
        <f t="shared" si="6"/>
        <v/>
      </c>
      <c r="R61" s="100">
        <f t="shared" si="4"/>
        <v>0</v>
      </c>
      <c r="S61" s="143">
        <f t="shared" si="5"/>
        <v>0</v>
      </c>
      <c r="AC61" s="100">
        <v>68122</v>
      </c>
      <c r="AD61" s="100">
        <f t="shared" si="0"/>
        <v>0</v>
      </c>
    </row>
    <row r="62" spans="1:30" ht="18" customHeight="1" x14ac:dyDescent="0.2">
      <c r="A62" s="373"/>
      <c r="B62" s="374"/>
      <c r="C62" s="375"/>
      <c r="D62" s="507"/>
      <c r="E62" s="376"/>
      <c r="F62" s="351"/>
      <c r="G62" s="377"/>
      <c r="H62" s="354"/>
      <c r="I62" s="536"/>
      <c r="J62" s="355" t="str">
        <f t="shared" si="1"/>
        <v/>
      </c>
      <c r="K62" s="356"/>
      <c r="L62" s="378" t="str">
        <f t="shared" si="2"/>
        <v/>
      </c>
      <c r="N62" s="155"/>
      <c r="P62" s="435">
        <f t="shared" si="3"/>
        <v>0</v>
      </c>
      <c r="Q62" s="141" t="str">
        <f t="shared" si="6"/>
        <v/>
      </c>
      <c r="R62" s="100">
        <f t="shared" si="4"/>
        <v>0</v>
      </c>
      <c r="S62" s="143">
        <f t="shared" si="5"/>
        <v>0</v>
      </c>
      <c r="AC62" s="100">
        <v>71432</v>
      </c>
      <c r="AD62" s="100">
        <f t="shared" si="0"/>
        <v>0</v>
      </c>
    </row>
    <row r="63" spans="1:30" ht="18" customHeight="1" x14ac:dyDescent="0.2">
      <c r="A63" s="373"/>
      <c r="B63" s="374"/>
      <c r="C63" s="375"/>
      <c r="D63" s="507"/>
      <c r="E63" s="376"/>
      <c r="F63" s="351"/>
      <c r="G63" s="377"/>
      <c r="H63" s="354"/>
      <c r="I63" s="536"/>
      <c r="J63" s="355" t="str">
        <f t="shared" si="1"/>
        <v/>
      </c>
      <c r="K63" s="356"/>
      <c r="L63" s="378" t="str">
        <f t="shared" si="2"/>
        <v/>
      </c>
      <c r="N63" s="155"/>
      <c r="P63" s="435">
        <f t="shared" si="3"/>
        <v>0</v>
      </c>
      <c r="Q63" s="141" t="str">
        <f t="shared" si="6"/>
        <v/>
      </c>
      <c r="R63" s="100">
        <f t="shared" si="4"/>
        <v>0</v>
      </c>
      <c r="S63" s="143">
        <f t="shared" si="5"/>
        <v>0</v>
      </c>
      <c r="AC63" s="100">
        <v>71556</v>
      </c>
      <c r="AD63" s="100">
        <f t="shared" si="0"/>
        <v>0</v>
      </c>
    </row>
    <row r="64" spans="1:30" ht="18" customHeight="1" x14ac:dyDescent="0.2">
      <c r="A64" s="373"/>
      <c r="B64" s="374"/>
      <c r="C64" s="375"/>
      <c r="D64" s="507"/>
      <c r="E64" s="376"/>
      <c r="F64" s="351"/>
      <c r="G64" s="377"/>
      <c r="H64" s="354"/>
      <c r="I64" s="536"/>
      <c r="J64" s="355" t="str">
        <f t="shared" si="1"/>
        <v/>
      </c>
      <c r="K64" s="356"/>
      <c r="L64" s="378" t="str">
        <f t="shared" si="2"/>
        <v/>
      </c>
      <c r="N64" s="155"/>
      <c r="P64" s="435">
        <f t="shared" si="3"/>
        <v>0</v>
      </c>
      <c r="Q64" s="141" t="str">
        <f t="shared" si="6"/>
        <v/>
      </c>
      <c r="R64" s="100">
        <f t="shared" si="4"/>
        <v>0</v>
      </c>
      <c r="S64" s="143">
        <f t="shared" si="5"/>
        <v>0</v>
      </c>
      <c r="AC64" s="100">
        <v>72435</v>
      </c>
      <c r="AD64" s="100">
        <f t="shared" si="0"/>
        <v>0</v>
      </c>
    </row>
    <row r="65" spans="1:30" ht="18" customHeight="1" x14ac:dyDescent="0.2">
      <c r="A65" s="373"/>
      <c r="B65" s="374"/>
      <c r="C65" s="375"/>
      <c r="D65" s="507"/>
      <c r="E65" s="376"/>
      <c r="F65" s="351"/>
      <c r="G65" s="377"/>
      <c r="H65" s="354"/>
      <c r="I65" s="536"/>
      <c r="J65" s="355" t="str">
        <f t="shared" si="1"/>
        <v/>
      </c>
      <c r="K65" s="356"/>
      <c r="L65" s="378" t="str">
        <f t="shared" si="2"/>
        <v/>
      </c>
      <c r="N65" s="155"/>
      <c r="P65" s="435">
        <f t="shared" si="3"/>
        <v>0</v>
      </c>
      <c r="Q65" s="141" t="str">
        <f t="shared" si="6"/>
        <v/>
      </c>
      <c r="R65" s="100">
        <f t="shared" si="4"/>
        <v>0</v>
      </c>
      <c r="S65" s="143">
        <f t="shared" si="5"/>
        <v>0</v>
      </c>
      <c r="AC65" s="100">
        <v>74839</v>
      </c>
      <c r="AD65" s="100">
        <f t="shared" si="0"/>
        <v>0</v>
      </c>
    </row>
    <row r="66" spans="1:30" ht="18" customHeight="1" x14ac:dyDescent="0.2">
      <c r="A66" s="373"/>
      <c r="B66" s="374"/>
      <c r="C66" s="375"/>
      <c r="D66" s="507"/>
      <c r="E66" s="376"/>
      <c r="F66" s="351"/>
      <c r="G66" s="377"/>
      <c r="H66" s="354"/>
      <c r="I66" s="536"/>
      <c r="J66" s="355" t="str">
        <f t="shared" si="1"/>
        <v/>
      </c>
      <c r="K66" s="356"/>
      <c r="L66" s="378" t="str">
        <f t="shared" si="2"/>
        <v/>
      </c>
      <c r="N66" s="155"/>
      <c r="P66" s="435">
        <f t="shared" si="3"/>
        <v>0</v>
      </c>
      <c r="Q66" s="141" t="str">
        <f t="shared" si="6"/>
        <v/>
      </c>
      <c r="R66" s="100">
        <f t="shared" si="4"/>
        <v>0</v>
      </c>
      <c r="S66" s="143">
        <f t="shared" si="5"/>
        <v>0</v>
      </c>
      <c r="AC66" s="100">
        <v>74873</v>
      </c>
      <c r="AD66" s="100">
        <f t="shared" si="0"/>
        <v>0</v>
      </c>
    </row>
    <row r="67" spans="1:30" ht="18" customHeight="1" x14ac:dyDescent="0.2">
      <c r="A67" s="373"/>
      <c r="B67" s="374"/>
      <c r="C67" s="375"/>
      <c r="D67" s="507"/>
      <c r="E67" s="376"/>
      <c r="F67" s="351"/>
      <c r="G67" s="377"/>
      <c r="H67" s="354"/>
      <c r="I67" s="536"/>
      <c r="J67" s="355" t="str">
        <f t="shared" si="1"/>
        <v/>
      </c>
      <c r="K67" s="356"/>
      <c r="L67" s="378" t="str">
        <f t="shared" si="2"/>
        <v/>
      </c>
      <c r="N67" s="155"/>
      <c r="P67" s="435">
        <f t="shared" si="3"/>
        <v>0</v>
      </c>
      <c r="Q67" s="141" t="str">
        <f t="shared" si="6"/>
        <v/>
      </c>
      <c r="R67" s="100">
        <f t="shared" si="4"/>
        <v>0</v>
      </c>
      <c r="S67" s="143">
        <f t="shared" si="5"/>
        <v>0</v>
      </c>
      <c r="AC67" s="100">
        <v>74884</v>
      </c>
      <c r="AD67" s="100">
        <f t="shared" si="0"/>
        <v>0</v>
      </c>
    </row>
    <row r="68" spans="1:30" ht="18" customHeight="1" x14ac:dyDescent="0.2">
      <c r="A68" s="373"/>
      <c r="B68" s="374"/>
      <c r="C68" s="375"/>
      <c r="D68" s="507"/>
      <c r="E68" s="376"/>
      <c r="F68" s="351"/>
      <c r="G68" s="377"/>
      <c r="H68" s="354"/>
      <c r="I68" s="536"/>
      <c r="J68" s="355" t="str">
        <f t="shared" si="1"/>
        <v/>
      </c>
      <c r="K68" s="356"/>
      <c r="L68" s="378" t="str">
        <f t="shared" si="2"/>
        <v/>
      </c>
      <c r="N68" s="155"/>
      <c r="P68" s="435">
        <f t="shared" si="3"/>
        <v>0</v>
      </c>
      <c r="Q68" s="141" t="str">
        <f t="shared" si="6"/>
        <v/>
      </c>
      <c r="R68" s="100">
        <f t="shared" si="4"/>
        <v>0</v>
      </c>
      <c r="S68" s="143">
        <f t="shared" si="5"/>
        <v>0</v>
      </c>
      <c r="AC68" s="100">
        <v>75003</v>
      </c>
      <c r="AD68" s="100">
        <f t="shared" si="0"/>
        <v>0</v>
      </c>
    </row>
    <row r="69" spans="1:30" ht="18" customHeight="1" thickBot="1" x14ac:dyDescent="0.25">
      <c r="A69" s="379"/>
      <c r="B69" s="380"/>
      <c r="C69" s="381"/>
      <c r="D69" s="508"/>
      <c r="E69" s="382"/>
      <c r="F69" s="360"/>
      <c r="G69" s="383"/>
      <c r="H69" s="363"/>
      <c r="I69" s="537"/>
      <c r="J69" s="364" t="str">
        <f t="shared" si="1"/>
        <v/>
      </c>
      <c r="K69" s="365"/>
      <c r="L69" s="384" t="str">
        <f t="shared" si="2"/>
        <v/>
      </c>
      <c r="N69" s="155"/>
      <c r="P69" s="435">
        <f t="shared" si="3"/>
        <v>0</v>
      </c>
      <c r="Q69" s="141" t="str">
        <f t="shared" si="6"/>
        <v/>
      </c>
      <c r="R69" s="100">
        <f t="shared" si="4"/>
        <v>0</v>
      </c>
      <c r="S69" s="143">
        <f t="shared" si="5"/>
        <v>0</v>
      </c>
      <c r="AC69" s="100">
        <v>75014</v>
      </c>
      <c r="AD69" s="100">
        <f t="shared" ref="AD69:AD100" si="7">SUMIF($C$38:$C$69,AC69,$L$38:$L$69)</f>
        <v>0</v>
      </c>
    </row>
    <row r="70" spans="1:30" ht="18" customHeight="1" x14ac:dyDescent="0.2">
      <c r="AC70" s="100">
        <v>75058</v>
      </c>
      <c r="AD70" s="100">
        <f t="shared" si="7"/>
        <v>0</v>
      </c>
    </row>
    <row r="71" spans="1:30" ht="18" customHeight="1" x14ac:dyDescent="0.2">
      <c r="AC71" s="100">
        <v>75070</v>
      </c>
      <c r="AD71" s="100">
        <f t="shared" si="7"/>
        <v>0</v>
      </c>
    </row>
    <row r="72" spans="1:30" ht="18" customHeight="1" x14ac:dyDescent="0.2">
      <c r="AC72" s="100">
        <v>75092</v>
      </c>
      <c r="AD72" s="100">
        <f t="shared" si="7"/>
        <v>0</v>
      </c>
    </row>
    <row r="73" spans="1:30" ht="18" customHeight="1" x14ac:dyDescent="0.2">
      <c r="AC73" s="100">
        <v>75150</v>
      </c>
      <c r="AD73" s="100">
        <f t="shared" si="7"/>
        <v>0</v>
      </c>
    </row>
    <row r="74" spans="1:30" ht="18" customHeight="1" x14ac:dyDescent="0.2">
      <c r="AC74" s="100">
        <v>75218</v>
      </c>
      <c r="AD74" s="100">
        <f t="shared" si="7"/>
        <v>0</v>
      </c>
    </row>
    <row r="75" spans="1:30" ht="18" customHeight="1" x14ac:dyDescent="0.2">
      <c r="AC75" s="100">
        <v>75252</v>
      </c>
      <c r="AD75" s="100">
        <f t="shared" si="7"/>
        <v>0</v>
      </c>
    </row>
    <row r="76" spans="1:30" ht="18" customHeight="1" x14ac:dyDescent="0.2">
      <c r="AC76" s="100">
        <v>75343</v>
      </c>
      <c r="AD76" s="100">
        <f t="shared" si="7"/>
        <v>0</v>
      </c>
    </row>
    <row r="77" spans="1:30" ht="18" customHeight="1" x14ac:dyDescent="0.2">
      <c r="AC77" s="100">
        <v>75354</v>
      </c>
      <c r="AD77" s="100">
        <f t="shared" si="7"/>
        <v>0</v>
      </c>
    </row>
    <row r="78" spans="1:30" ht="18" customHeight="1" x14ac:dyDescent="0.2">
      <c r="AC78" s="100">
        <v>75445</v>
      </c>
      <c r="AD78" s="100">
        <f t="shared" si="7"/>
        <v>0</v>
      </c>
    </row>
    <row r="79" spans="1:30" ht="18" customHeight="1" x14ac:dyDescent="0.2">
      <c r="AC79" s="100">
        <v>75558</v>
      </c>
      <c r="AD79" s="100">
        <f t="shared" si="7"/>
        <v>0</v>
      </c>
    </row>
    <row r="80" spans="1:30" ht="18" customHeight="1" x14ac:dyDescent="0.2">
      <c r="AC80" s="100">
        <v>75569</v>
      </c>
      <c r="AD80" s="100">
        <f t="shared" si="7"/>
        <v>0</v>
      </c>
    </row>
    <row r="81" spans="29:30" ht="18" customHeight="1" x14ac:dyDescent="0.2">
      <c r="AC81" s="100">
        <v>76448</v>
      </c>
      <c r="AD81" s="100">
        <f t="shared" si="7"/>
        <v>0</v>
      </c>
    </row>
    <row r="82" spans="29:30" ht="18" customHeight="1" x14ac:dyDescent="0.2">
      <c r="AC82" s="100">
        <v>77474</v>
      </c>
      <c r="AD82" s="100">
        <f t="shared" si="7"/>
        <v>0</v>
      </c>
    </row>
    <row r="83" spans="29:30" ht="18" customHeight="1" x14ac:dyDescent="0.2">
      <c r="AC83" s="100">
        <v>77781</v>
      </c>
      <c r="AD83" s="100">
        <f t="shared" si="7"/>
        <v>0</v>
      </c>
    </row>
    <row r="84" spans="29:30" ht="18" customHeight="1" x14ac:dyDescent="0.2">
      <c r="AC84" s="100">
        <v>78591</v>
      </c>
      <c r="AD84" s="100">
        <f t="shared" si="7"/>
        <v>0</v>
      </c>
    </row>
    <row r="85" spans="29:30" ht="18" customHeight="1" x14ac:dyDescent="0.2">
      <c r="AC85" s="100">
        <v>78875</v>
      </c>
      <c r="AD85" s="100">
        <f t="shared" si="7"/>
        <v>0</v>
      </c>
    </row>
    <row r="86" spans="29:30" ht="18" customHeight="1" x14ac:dyDescent="0.2">
      <c r="AC86" s="100">
        <v>79005</v>
      </c>
      <c r="AD86" s="100">
        <f t="shared" si="7"/>
        <v>0</v>
      </c>
    </row>
    <row r="87" spans="29:30" ht="18" customHeight="1" x14ac:dyDescent="0.2">
      <c r="AC87" s="100">
        <v>79016</v>
      </c>
      <c r="AD87" s="100">
        <f t="shared" si="7"/>
        <v>0</v>
      </c>
    </row>
    <row r="88" spans="29:30" ht="18" customHeight="1" x14ac:dyDescent="0.2">
      <c r="AC88" s="100">
        <v>79061</v>
      </c>
      <c r="AD88" s="100">
        <f t="shared" si="7"/>
        <v>0</v>
      </c>
    </row>
    <row r="89" spans="29:30" ht="18" customHeight="1" x14ac:dyDescent="0.2">
      <c r="AC89" s="100">
        <v>79107</v>
      </c>
      <c r="AD89" s="100">
        <f t="shared" si="7"/>
        <v>0</v>
      </c>
    </row>
    <row r="90" spans="29:30" ht="18" customHeight="1" x14ac:dyDescent="0.2">
      <c r="AC90" s="100">
        <v>79118</v>
      </c>
      <c r="AD90" s="100">
        <f t="shared" si="7"/>
        <v>0</v>
      </c>
    </row>
    <row r="91" spans="29:30" ht="18" customHeight="1" x14ac:dyDescent="0.2">
      <c r="AC91" s="100">
        <v>79345</v>
      </c>
      <c r="AD91" s="100">
        <f t="shared" si="7"/>
        <v>0</v>
      </c>
    </row>
    <row r="92" spans="29:30" ht="18" customHeight="1" x14ac:dyDescent="0.2">
      <c r="AC92" s="100">
        <v>79447</v>
      </c>
      <c r="AD92" s="100">
        <f t="shared" si="7"/>
        <v>0</v>
      </c>
    </row>
    <row r="93" spans="29:30" ht="18" customHeight="1" x14ac:dyDescent="0.2">
      <c r="AC93" s="100">
        <v>79469</v>
      </c>
      <c r="AD93" s="100">
        <f t="shared" si="7"/>
        <v>0</v>
      </c>
    </row>
    <row r="94" spans="29:30" ht="18" customHeight="1" x14ac:dyDescent="0.2">
      <c r="AC94" s="100">
        <v>80626</v>
      </c>
      <c r="AD94" s="100">
        <f t="shared" si="7"/>
        <v>0</v>
      </c>
    </row>
    <row r="95" spans="29:30" ht="18" customHeight="1" x14ac:dyDescent="0.2">
      <c r="AC95" s="100">
        <v>82688</v>
      </c>
      <c r="AD95" s="100">
        <f t="shared" si="7"/>
        <v>0</v>
      </c>
    </row>
    <row r="96" spans="29:30" ht="18" customHeight="1" x14ac:dyDescent="0.2">
      <c r="AC96" s="100">
        <v>84742</v>
      </c>
      <c r="AD96" s="100">
        <f t="shared" si="7"/>
        <v>0</v>
      </c>
    </row>
    <row r="97" spans="29:30" ht="18" customHeight="1" x14ac:dyDescent="0.2">
      <c r="AC97" s="100">
        <v>85449</v>
      </c>
      <c r="AD97" s="100">
        <f t="shared" si="7"/>
        <v>0</v>
      </c>
    </row>
    <row r="98" spans="29:30" ht="18" customHeight="1" x14ac:dyDescent="0.2">
      <c r="AC98" s="100">
        <v>87683</v>
      </c>
      <c r="AD98" s="100">
        <f t="shared" si="7"/>
        <v>0</v>
      </c>
    </row>
    <row r="99" spans="29:30" ht="18" customHeight="1" x14ac:dyDescent="0.2">
      <c r="AC99" s="100">
        <v>87865</v>
      </c>
      <c r="AD99" s="100">
        <f t="shared" si="7"/>
        <v>0</v>
      </c>
    </row>
    <row r="100" spans="29:30" ht="18" customHeight="1" x14ac:dyDescent="0.2">
      <c r="AC100" s="100">
        <v>88062</v>
      </c>
      <c r="AD100" s="100">
        <f t="shared" si="7"/>
        <v>0</v>
      </c>
    </row>
    <row r="101" spans="29:30" ht="18" customHeight="1" x14ac:dyDescent="0.2">
      <c r="AC101" s="100">
        <v>90040</v>
      </c>
      <c r="AD101" s="100">
        <f t="shared" ref="AD101:AD132" si="8">SUMIF($C$38:$C$69,AC101,$L$38:$L$69)</f>
        <v>0</v>
      </c>
    </row>
    <row r="102" spans="29:30" ht="18" customHeight="1" x14ac:dyDescent="0.2">
      <c r="AC102" s="100">
        <v>91203</v>
      </c>
      <c r="AD102" s="100">
        <f t="shared" si="8"/>
        <v>0</v>
      </c>
    </row>
    <row r="103" spans="29:30" ht="18" customHeight="1" x14ac:dyDescent="0.2">
      <c r="AC103" s="100">
        <v>91225</v>
      </c>
      <c r="AD103" s="100">
        <f t="shared" si="8"/>
        <v>0</v>
      </c>
    </row>
    <row r="104" spans="29:30" ht="18" customHeight="1" x14ac:dyDescent="0.2">
      <c r="AC104" s="100">
        <v>91941</v>
      </c>
      <c r="AD104" s="100">
        <f t="shared" si="8"/>
        <v>0</v>
      </c>
    </row>
    <row r="105" spans="29:30" ht="18" customHeight="1" x14ac:dyDescent="0.2">
      <c r="AC105" s="100">
        <v>92524</v>
      </c>
      <c r="AD105" s="100">
        <f t="shared" si="8"/>
        <v>0</v>
      </c>
    </row>
    <row r="106" spans="29:30" ht="18" customHeight="1" x14ac:dyDescent="0.2">
      <c r="AC106" s="100">
        <v>92671</v>
      </c>
      <c r="AD106" s="100">
        <f t="shared" si="8"/>
        <v>0</v>
      </c>
    </row>
    <row r="107" spans="29:30" ht="18" customHeight="1" x14ac:dyDescent="0.2">
      <c r="AC107" s="100">
        <v>92875</v>
      </c>
      <c r="AD107" s="100">
        <f t="shared" si="8"/>
        <v>0</v>
      </c>
    </row>
    <row r="108" spans="29:30" ht="18" customHeight="1" x14ac:dyDescent="0.2">
      <c r="AC108" s="100">
        <v>92933</v>
      </c>
      <c r="AD108" s="100">
        <f t="shared" si="8"/>
        <v>0</v>
      </c>
    </row>
    <row r="109" spans="29:30" ht="18" customHeight="1" x14ac:dyDescent="0.2">
      <c r="AC109" s="100">
        <v>94757</v>
      </c>
      <c r="AD109" s="100">
        <f t="shared" si="8"/>
        <v>0</v>
      </c>
    </row>
    <row r="110" spans="29:30" ht="18" customHeight="1" x14ac:dyDescent="0.2">
      <c r="AC110" s="100">
        <v>95476</v>
      </c>
      <c r="AD110" s="100">
        <f t="shared" si="8"/>
        <v>0</v>
      </c>
    </row>
    <row r="111" spans="29:30" ht="18" customHeight="1" x14ac:dyDescent="0.2">
      <c r="AC111" s="100">
        <v>95487</v>
      </c>
      <c r="AD111" s="100">
        <f t="shared" si="8"/>
        <v>0</v>
      </c>
    </row>
    <row r="112" spans="29:30" ht="18" customHeight="1" x14ac:dyDescent="0.2">
      <c r="AC112" s="100">
        <v>95534</v>
      </c>
      <c r="AD112" s="100">
        <f t="shared" si="8"/>
        <v>0</v>
      </c>
    </row>
    <row r="113" spans="29:30" ht="18" customHeight="1" x14ac:dyDescent="0.2">
      <c r="AC113" s="100">
        <v>95807</v>
      </c>
      <c r="AD113" s="100">
        <f t="shared" si="8"/>
        <v>0</v>
      </c>
    </row>
    <row r="114" spans="29:30" ht="18" customHeight="1" x14ac:dyDescent="0.2">
      <c r="AC114" s="100">
        <v>95954</v>
      </c>
      <c r="AD114" s="100">
        <f t="shared" si="8"/>
        <v>0</v>
      </c>
    </row>
    <row r="115" spans="29:30" ht="18" customHeight="1" x14ac:dyDescent="0.2">
      <c r="AC115" s="100">
        <v>96093</v>
      </c>
      <c r="AD115" s="100">
        <f t="shared" si="8"/>
        <v>0</v>
      </c>
    </row>
    <row r="116" spans="29:30" ht="18" customHeight="1" x14ac:dyDescent="0.2">
      <c r="AC116" s="100">
        <v>96128</v>
      </c>
      <c r="AD116" s="100">
        <f t="shared" si="8"/>
        <v>0</v>
      </c>
    </row>
    <row r="117" spans="29:30" ht="18" customHeight="1" x14ac:dyDescent="0.2">
      <c r="AC117" s="100">
        <v>96457</v>
      </c>
      <c r="AD117" s="100">
        <f t="shared" si="8"/>
        <v>0</v>
      </c>
    </row>
    <row r="118" spans="29:30" ht="18" customHeight="1" x14ac:dyDescent="0.2">
      <c r="AC118" s="100">
        <v>98077</v>
      </c>
      <c r="AD118" s="100">
        <f t="shared" si="8"/>
        <v>0</v>
      </c>
    </row>
    <row r="119" spans="29:30" ht="18" customHeight="1" x14ac:dyDescent="0.2">
      <c r="AC119" s="100">
        <v>98828</v>
      </c>
      <c r="AD119" s="100">
        <f t="shared" si="8"/>
        <v>0</v>
      </c>
    </row>
    <row r="120" spans="29:30" ht="18" customHeight="1" x14ac:dyDescent="0.2">
      <c r="AC120" s="100">
        <v>98862</v>
      </c>
      <c r="AD120" s="100">
        <f t="shared" si="8"/>
        <v>0</v>
      </c>
    </row>
    <row r="121" spans="29:30" ht="18" customHeight="1" x14ac:dyDescent="0.2">
      <c r="AC121" s="100">
        <v>98953</v>
      </c>
      <c r="AD121" s="100">
        <f t="shared" si="8"/>
        <v>0</v>
      </c>
    </row>
    <row r="122" spans="29:30" ht="18" customHeight="1" x14ac:dyDescent="0.2">
      <c r="AC122" s="100">
        <v>100027</v>
      </c>
      <c r="AD122" s="100">
        <f t="shared" si="8"/>
        <v>0</v>
      </c>
    </row>
    <row r="123" spans="29:30" ht="18" customHeight="1" x14ac:dyDescent="0.2">
      <c r="AC123" s="100">
        <v>100414</v>
      </c>
      <c r="AD123" s="100">
        <f t="shared" si="8"/>
        <v>0</v>
      </c>
    </row>
    <row r="124" spans="29:30" ht="18" customHeight="1" x14ac:dyDescent="0.2">
      <c r="AC124" s="100">
        <v>100425</v>
      </c>
      <c r="AD124" s="100">
        <f t="shared" si="8"/>
        <v>0</v>
      </c>
    </row>
    <row r="125" spans="29:30" ht="18" customHeight="1" x14ac:dyDescent="0.2">
      <c r="AC125" s="100">
        <v>100447</v>
      </c>
      <c r="AD125" s="100">
        <f t="shared" si="8"/>
        <v>0</v>
      </c>
    </row>
    <row r="126" spans="29:30" ht="18" customHeight="1" x14ac:dyDescent="0.2">
      <c r="AC126" s="100">
        <v>101144</v>
      </c>
      <c r="AD126" s="100">
        <f t="shared" si="8"/>
        <v>0</v>
      </c>
    </row>
    <row r="127" spans="29:30" ht="18" customHeight="1" x14ac:dyDescent="0.2">
      <c r="AC127" s="100">
        <v>101688</v>
      </c>
      <c r="AD127" s="100">
        <f t="shared" si="8"/>
        <v>0</v>
      </c>
    </row>
    <row r="128" spans="29:30" ht="18" customHeight="1" x14ac:dyDescent="0.2">
      <c r="AC128" s="100">
        <v>101779</v>
      </c>
      <c r="AD128" s="100">
        <f t="shared" si="8"/>
        <v>0</v>
      </c>
    </row>
    <row r="129" spans="29:30" ht="18" customHeight="1" x14ac:dyDescent="0.2">
      <c r="AC129" s="100">
        <v>106423</v>
      </c>
      <c r="AD129" s="100">
        <f t="shared" si="8"/>
        <v>0</v>
      </c>
    </row>
    <row r="130" spans="29:30" ht="18" customHeight="1" x14ac:dyDescent="0.2">
      <c r="AC130" s="100">
        <v>106445</v>
      </c>
      <c r="AD130" s="100">
        <f t="shared" si="8"/>
        <v>0</v>
      </c>
    </row>
    <row r="131" spans="29:30" ht="18" customHeight="1" x14ac:dyDescent="0.2">
      <c r="AC131" s="100">
        <v>106467</v>
      </c>
      <c r="AD131" s="100">
        <f t="shared" si="8"/>
        <v>0</v>
      </c>
    </row>
    <row r="132" spans="29:30" ht="18" customHeight="1" x14ac:dyDescent="0.2">
      <c r="AC132" s="100">
        <v>106503</v>
      </c>
      <c r="AD132" s="100">
        <f t="shared" si="8"/>
        <v>0</v>
      </c>
    </row>
    <row r="133" spans="29:30" ht="18" customHeight="1" x14ac:dyDescent="0.2">
      <c r="AC133" s="100">
        <v>106514</v>
      </c>
      <c r="AD133" s="100">
        <f t="shared" ref="AD133:AD164" si="9">SUMIF($C$38:$C$69,AC133,$L$38:$L$69)</f>
        <v>0</v>
      </c>
    </row>
    <row r="134" spans="29:30" ht="18" customHeight="1" x14ac:dyDescent="0.2">
      <c r="AC134" s="100">
        <v>106887</v>
      </c>
      <c r="AD134" s="100">
        <f t="shared" si="9"/>
        <v>0</v>
      </c>
    </row>
    <row r="135" spans="29:30" ht="18" customHeight="1" x14ac:dyDescent="0.2">
      <c r="AC135" s="100">
        <v>106898</v>
      </c>
      <c r="AD135" s="100">
        <f t="shared" si="9"/>
        <v>0</v>
      </c>
    </row>
    <row r="136" spans="29:30" ht="18" customHeight="1" x14ac:dyDescent="0.2">
      <c r="AC136" s="100">
        <v>106934</v>
      </c>
      <c r="AD136" s="100">
        <f t="shared" si="9"/>
        <v>0</v>
      </c>
    </row>
    <row r="137" spans="29:30" ht="18" customHeight="1" x14ac:dyDescent="0.2">
      <c r="AC137" s="100">
        <v>106990</v>
      </c>
      <c r="AD137" s="100">
        <f t="shared" si="9"/>
        <v>0</v>
      </c>
    </row>
    <row r="138" spans="29:30" ht="18" customHeight="1" x14ac:dyDescent="0.2">
      <c r="AC138" s="100">
        <v>107028</v>
      </c>
      <c r="AD138" s="100">
        <f t="shared" si="9"/>
        <v>0</v>
      </c>
    </row>
    <row r="139" spans="29:30" ht="18" customHeight="1" x14ac:dyDescent="0.2">
      <c r="AC139" s="100">
        <v>107051</v>
      </c>
      <c r="AD139" s="100">
        <f t="shared" si="9"/>
        <v>0</v>
      </c>
    </row>
    <row r="140" spans="29:30" ht="18" customHeight="1" x14ac:dyDescent="0.2">
      <c r="AC140" s="100">
        <v>107062</v>
      </c>
      <c r="AD140" s="100">
        <f t="shared" si="9"/>
        <v>0</v>
      </c>
    </row>
    <row r="141" spans="29:30" ht="18" customHeight="1" x14ac:dyDescent="0.2">
      <c r="AC141" s="100">
        <v>107131</v>
      </c>
      <c r="AD141" s="100">
        <f t="shared" si="9"/>
        <v>0</v>
      </c>
    </row>
    <row r="142" spans="29:30" ht="18" customHeight="1" x14ac:dyDescent="0.2">
      <c r="AC142" s="100">
        <v>107211</v>
      </c>
      <c r="AD142" s="100">
        <f t="shared" si="9"/>
        <v>0</v>
      </c>
    </row>
    <row r="143" spans="29:30" ht="18" customHeight="1" x14ac:dyDescent="0.2">
      <c r="AC143" s="100">
        <v>107302</v>
      </c>
      <c r="AD143" s="100">
        <f t="shared" si="9"/>
        <v>0</v>
      </c>
    </row>
    <row r="144" spans="29:30" ht="18" customHeight="1" x14ac:dyDescent="0.2">
      <c r="AC144" s="100">
        <v>108054</v>
      </c>
      <c r="AD144" s="100">
        <f t="shared" si="9"/>
        <v>0</v>
      </c>
    </row>
    <row r="145" spans="29:30" ht="18" customHeight="1" x14ac:dyDescent="0.2">
      <c r="AC145" s="100">
        <v>108101</v>
      </c>
      <c r="AD145" s="100">
        <f t="shared" si="9"/>
        <v>0</v>
      </c>
    </row>
    <row r="146" spans="29:30" ht="18" customHeight="1" x14ac:dyDescent="0.2">
      <c r="AC146" s="100">
        <v>108316</v>
      </c>
      <c r="AD146" s="100">
        <f t="shared" si="9"/>
        <v>0</v>
      </c>
    </row>
    <row r="147" spans="29:30" ht="18" customHeight="1" x14ac:dyDescent="0.2">
      <c r="AC147" s="100">
        <v>108383</v>
      </c>
      <c r="AD147" s="100">
        <f t="shared" si="9"/>
        <v>0</v>
      </c>
    </row>
    <row r="148" spans="29:30" ht="18" customHeight="1" x14ac:dyDescent="0.2">
      <c r="AC148" s="100">
        <v>108394</v>
      </c>
      <c r="AD148" s="100">
        <f t="shared" si="9"/>
        <v>0</v>
      </c>
    </row>
    <row r="149" spans="29:30" ht="18" customHeight="1" x14ac:dyDescent="0.2">
      <c r="AC149" s="100">
        <v>108883</v>
      </c>
      <c r="AD149" s="100">
        <f t="shared" si="9"/>
        <v>0</v>
      </c>
    </row>
    <row r="150" spans="29:30" ht="18" customHeight="1" x14ac:dyDescent="0.2">
      <c r="AC150" s="100">
        <v>108907</v>
      </c>
      <c r="AD150" s="100">
        <f t="shared" si="9"/>
        <v>0</v>
      </c>
    </row>
    <row r="151" spans="29:30" ht="18" customHeight="1" x14ac:dyDescent="0.2">
      <c r="AC151" s="100">
        <v>108952</v>
      </c>
      <c r="AD151" s="100">
        <f t="shared" si="9"/>
        <v>0</v>
      </c>
    </row>
    <row r="152" spans="29:30" ht="18" customHeight="1" x14ac:dyDescent="0.2">
      <c r="AC152" s="100">
        <v>110543</v>
      </c>
      <c r="AD152" s="100">
        <f t="shared" si="9"/>
        <v>0</v>
      </c>
    </row>
    <row r="153" spans="29:30" ht="18" customHeight="1" x14ac:dyDescent="0.2">
      <c r="AC153" s="100">
        <v>111422</v>
      </c>
      <c r="AD153" s="100">
        <f t="shared" si="9"/>
        <v>0</v>
      </c>
    </row>
    <row r="154" spans="29:30" ht="18" customHeight="1" x14ac:dyDescent="0.2">
      <c r="AC154" s="100">
        <v>111444</v>
      </c>
      <c r="AD154" s="100">
        <f t="shared" si="9"/>
        <v>0</v>
      </c>
    </row>
    <row r="155" spans="29:30" ht="18" customHeight="1" x14ac:dyDescent="0.2">
      <c r="AC155" s="100">
        <v>114261</v>
      </c>
      <c r="AD155" s="100">
        <f t="shared" si="9"/>
        <v>0</v>
      </c>
    </row>
    <row r="156" spans="29:30" ht="18" customHeight="1" x14ac:dyDescent="0.2">
      <c r="AC156" s="100">
        <v>117817</v>
      </c>
      <c r="AD156" s="100">
        <f t="shared" si="9"/>
        <v>0</v>
      </c>
    </row>
    <row r="157" spans="29:30" ht="18" customHeight="1" x14ac:dyDescent="0.2">
      <c r="AC157" s="100">
        <v>118741</v>
      </c>
      <c r="AD157" s="100">
        <f t="shared" si="9"/>
        <v>0</v>
      </c>
    </row>
    <row r="158" spans="29:30" ht="18" customHeight="1" x14ac:dyDescent="0.2">
      <c r="AC158" s="100">
        <v>119904</v>
      </c>
      <c r="AD158" s="100">
        <f t="shared" si="9"/>
        <v>0</v>
      </c>
    </row>
    <row r="159" spans="29:30" ht="18" customHeight="1" x14ac:dyDescent="0.2">
      <c r="AC159" s="100">
        <v>119937</v>
      </c>
      <c r="AD159" s="100">
        <f t="shared" si="9"/>
        <v>0</v>
      </c>
    </row>
    <row r="160" spans="29:30" ht="18" customHeight="1" x14ac:dyDescent="0.2">
      <c r="AC160" s="100">
        <v>120809</v>
      </c>
      <c r="AD160" s="100">
        <f t="shared" si="9"/>
        <v>0</v>
      </c>
    </row>
    <row r="161" spans="29:30" ht="18" customHeight="1" x14ac:dyDescent="0.2">
      <c r="AC161" s="100">
        <v>120821</v>
      </c>
      <c r="AD161" s="100">
        <f t="shared" si="9"/>
        <v>0</v>
      </c>
    </row>
    <row r="162" spans="29:30" ht="18" customHeight="1" x14ac:dyDescent="0.2">
      <c r="AC162" s="100">
        <v>121142</v>
      </c>
      <c r="AD162" s="100">
        <f t="shared" si="9"/>
        <v>0</v>
      </c>
    </row>
    <row r="163" spans="29:30" ht="18" customHeight="1" x14ac:dyDescent="0.2">
      <c r="AC163" s="100">
        <v>121448</v>
      </c>
      <c r="AD163" s="100">
        <f t="shared" si="9"/>
        <v>0</v>
      </c>
    </row>
    <row r="164" spans="29:30" ht="18" customHeight="1" x14ac:dyDescent="0.2">
      <c r="AC164" s="100">
        <v>121697</v>
      </c>
      <c r="AD164" s="100">
        <f t="shared" si="9"/>
        <v>0</v>
      </c>
    </row>
    <row r="165" spans="29:30" ht="18" customHeight="1" x14ac:dyDescent="0.2">
      <c r="AC165" s="100">
        <v>122667</v>
      </c>
      <c r="AD165" s="100">
        <f t="shared" ref="AD165:AD196" si="10">SUMIF($C$38:$C$69,AC165,$L$38:$L$69)</f>
        <v>0</v>
      </c>
    </row>
    <row r="166" spans="29:30" ht="18" customHeight="1" x14ac:dyDescent="0.2">
      <c r="AC166" s="100">
        <v>123319</v>
      </c>
      <c r="AD166" s="100">
        <f t="shared" si="10"/>
        <v>0</v>
      </c>
    </row>
    <row r="167" spans="29:30" ht="18" customHeight="1" x14ac:dyDescent="0.2">
      <c r="AC167" s="100">
        <v>123386</v>
      </c>
      <c r="AD167" s="100">
        <f t="shared" si="10"/>
        <v>0</v>
      </c>
    </row>
    <row r="168" spans="29:30" ht="18" customHeight="1" x14ac:dyDescent="0.2">
      <c r="AC168" s="100">
        <v>123911</v>
      </c>
      <c r="AD168" s="100">
        <f t="shared" si="10"/>
        <v>0</v>
      </c>
    </row>
    <row r="169" spans="29:30" ht="18" customHeight="1" x14ac:dyDescent="0.2">
      <c r="AC169" s="100">
        <v>126998</v>
      </c>
      <c r="AD169" s="100">
        <f t="shared" si="10"/>
        <v>0</v>
      </c>
    </row>
    <row r="170" spans="29:30" ht="18" customHeight="1" x14ac:dyDescent="0.2">
      <c r="AC170" s="100">
        <v>127184</v>
      </c>
      <c r="AD170" s="100">
        <f t="shared" si="10"/>
        <v>0</v>
      </c>
    </row>
    <row r="171" spans="29:30" ht="18" customHeight="1" x14ac:dyDescent="0.2">
      <c r="AC171" s="100">
        <v>131113</v>
      </c>
      <c r="AD171" s="100">
        <f t="shared" si="10"/>
        <v>0</v>
      </c>
    </row>
    <row r="172" spans="29:30" ht="18" customHeight="1" x14ac:dyDescent="0.2">
      <c r="AC172" s="100">
        <v>132649</v>
      </c>
      <c r="AD172" s="100">
        <f t="shared" si="10"/>
        <v>0</v>
      </c>
    </row>
    <row r="173" spans="29:30" ht="18" customHeight="1" x14ac:dyDescent="0.2">
      <c r="AC173" s="100">
        <v>133062</v>
      </c>
      <c r="AD173" s="100">
        <f t="shared" si="10"/>
        <v>0</v>
      </c>
    </row>
    <row r="174" spans="29:30" ht="18" customHeight="1" x14ac:dyDescent="0.2">
      <c r="AC174" s="100">
        <v>133904</v>
      </c>
      <c r="AD174" s="100">
        <f t="shared" si="10"/>
        <v>0</v>
      </c>
    </row>
    <row r="175" spans="29:30" ht="18" customHeight="1" x14ac:dyDescent="0.2">
      <c r="AC175" s="100">
        <v>140885</v>
      </c>
      <c r="AD175" s="100">
        <f t="shared" si="10"/>
        <v>0</v>
      </c>
    </row>
    <row r="176" spans="29:30" ht="18" customHeight="1" x14ac:dyDescent="0.2">
      <c r="AC176" s="100">
        <v>151564</v>
      </c>
      <c r="AD176" s="100">
        <f t="shared" si="10"/>
        <v>0</v>
      </c>
    </row>
    <row r="177" spans="29:30" ht="18" customHeight="1" x14ac:dyDescent="0.2">
      <c r="AC177" s="100">
        <v>156627</v>
      </c>
      <c r="AD177" s="100">
        <f t="shared" si="10"/>
        <v>0</v>
      </c>
    </row>
    <row r="178" spans="29:30" ht="18" customHeight="1" x14ac:dyDescent="0.2">
      <c r="AC178" s="100">
        <v>302012</v>
      </c>
      <c r="AD178" s="100">
        <f t="shared" si="10"/>
        <v>0</v>
      </c>
    </row>
    <row r="179" spans="29:30" ht="18" customHeight="1" x14ac:dyDescent="0.2">
      <c r="AC179" s="100">
        <v>334883</v>
      </c>
      <c r="AD179" s="100">
        <f t="shared" si="10"/>
        <v>0</v>
      </c>
    </row>
    <row r="180" spans="29:30" ht="18" customHeight="1" x14ac:dyDescent="0.2">
      <c r="AC180" s="100">
        <v>463581</v>
      </c>
      <c r="AD180" s="100">
        <f t="shared" si="10"/>
        <v>0</v>
      </c>
    </row>
    <row r="181" spans="29:30" ht="18" customHeight="1" x14ac:dyDescent="0.2">
      <c r="AC181" s="100">
        <v>510156</v>
      </c>
      <c r="AD181" s="100">
        <f t="shared" si="10"/>
        <v>0</v>
      </c>
    </row>
    <row r="182" spans="29:30" ht="18" customHeight="1" x14ac:dyDescent="0.2">
      <c r="AC182" s="100">
        <v>532274</v>
      </c>
      <c r="AD182" s="100">
        <f t="shared" si="10"/>
        <v>0</v>
      </c>
    </row>
    <row r="183" spans="29:30" ht="18" customHeight="1" x14ac:dyDescent="0.2">
      <c r="AC183" s="100">
        <v>534521</v>
      </c>
      <c r="AD183" s="100">
        <f t="shared" si="10"/>
        <v>0</v>
      </c>
    </row>
    <row r="184" spans="29:30" ht="18" customHeight="1" x14ac:dyDescent="0.2">
      <c r="AC184" s="100">
        <v>540841</v>
      </c>
      <c r="AD184" s="100">
        <f t="shared" si="10"/>
        <v>0</v>
      </c>
    </row>
    <row r="185" spans="29:30" ht="18" customHeight="1" x14ac:dyDescent="0.2">
      <c r="AC185" s="100">
        <v>542756</v>
      </c>
      <c r="AD185" s="100">
        <f t="shared" si="10"/>
        <v>0</v>
      </c>
    </row>
    <row r="186" spans="29:30" ht="18" customHeight="1" x14ac:dyDescent="0.2">
      <c r="AC186" s="100">
        <v>542881</v>
      </c>
      <c r="AD186" s="100">
        <f t="shared" si="10"/>
        <v>0</v>
      </c>
    </row>
    <row r="187" spans="29:30" ht="18" customHeight="1" x14ac:dyDescent="0.2">
      <c r="AC187" s="100">
        <v>584849</v>
      </c>
      <c r="AD187" s="100">
        <f t="shared" si="10"/>
        <v>0</v>
      </c>
    </row>
    <row r="188" spans="29:30" ht="18" customHeight="1" x14ac:dyDescent="0.2">
      <c r="AC188" s="100">
        <v>593602</v>
      </c>
      <c r="AD188" s="100">
        <f t="shared" si="10"/>
        <v>0</v>
      </c>
    </row>
    <row r="189" spans="29:30" ht="18" customHeight="1" x14ac:dyDescent="0.2">
      <c r="AC189" s="100">
        <v>624839</v>
      </c>
      <c r="AD189" s="100">
        <f t="shared" si="10"/>
        <v>0</v>
      </c>
    </row>
    <row r="190" spans="29:30" ht="18" customHeight="1" x14ac:dyDescent="0.2">
      <c r="AC190" s="100">
        <v>680319</v>
      </c>
      <c r="AD190" s="100">
        <f t="shared" si="10"/>
        <v>0</v>
      </c>
    </row>
    <row r="191" spans="29:30" ht="18" customHeight="1" x14ac:dyDescent="0.2">
      <c r="AC191" s="100">
        <v>684935</v>
      </c>
      <c r="AD191" s="100">
        <f t="shared" si="10"/>
        <v>0</v>
      </c>
    </row>
    <row r="192" spans="29:30" ht="18" customHeight="1" x14ac:dyDescent="0.2">
      <c r="AC192" s="100">
        <v>822060</v>
      </c>
      <c r="AD192" s="100">
        <f t="shared" si="10"/>
        <v>0</v>
      </c>
    </row>
    <row r="193" spans="29:30" ht="18" customHeight="1" x14ac:dyDescent="0.2">
      <c r="AC193" s="100">
        <v>1120714</v>
      </c>
      <c r="AD193" s="100">
        <f t="shared" si="10"/>
        <v>0</v>
      </c>
    </row>
    <row r="194" spans="29:30" ht="18" customHeight="1" x14ac:dyDescent="0.2">
      <c r="AC194" s="100">
        <v>1319773</v>
      </c>
      <c r="AD194" s="100">
        <f t="shared" si="10"/>
        <v>0</v>
      </c>
    </row>
    <row r="195" spans="29:30" ht="18" customHeight="1" x14ac:dyDescent="0.2">
      <c r="AC195" s="100">
        <v>1330207</v>
      </c>
      <c r="AD195" s="100">
        <f t="shared" si="10"/>
        <v>0</v>
      </c>
    </row>
    <row r="196" spans="29:30" ht="18" customHeight="1" x14ac:dyDescent="0.2">
      <c r="AC196" s="100">
        <v>1332214</v>
      </c>
      <c r="AD196" s="100">
        <f t="shared" si="10"/>
        <v>0</v>
      </c>
    </row>
    <row r="197" spans="29:30" ht="18" customHeight="1" x14ac:dyDescent="0.2">
      <c r="AC197" s="100">
        <v>1336363</v>
      </c>
      <c r="AD197" s="100">
        <f t="shared" ref="AD197:AD219" si="11">SUMIF($C$38:$C$69,AC197,$L$38:$L$69)</f>
        <v>0</v>
      </c>
    </row>
    <row r="198" spans="29:30" ht="18" customHeight="1" x14ac:dyDescent="0.2">
      <c r="AC198" s="100">
        <v>1582098</v>
      </c>
      <c r="AD198" s="100">
        <f t="shared" si="11"/>
        <v>0</v>
      </c>
    </row>
    <row r="199" spans="29:30" ht="18" customHeight="1" x14ac:dyDescent="0.2">
      <c r="AC199" s="100">
        <v>1634044</v>
      </c>
      <c r="AD199" s="100">
        <f t="shared" si="11"/>
        <v>0</v>
      </c>
    </row>
    <row r="200" spans="29:30" ht="18" customHeight="1" x14ac:dyDescent="0.2">
      <c r="AC200" s="100">
        <v>1746016</v>
      </c>
      <c r="AD200" s="100">
        <f t="shared" si="11"/>
        <v>0</v>
      </c>
    </row>
    <row r="201" spans="29:30" ht="18" customHeight="1" x14ac:dyDescent="0.2">
      <c r="AC201" s="100">
        <v>3547044</v>
      </c>
      <c r="AD201" s="100">
        <f t="shared" si="11"/>
        <v>0</v>
      </c>
    </row>
    <row r="202" spans="29:30" ht="18" customHeight="1" x14ac:dyDescent="0.2">
      <c r="AC202" s="100">
        <v>7439921</v>
      </c>
      <c r="AD202" s="100">
        <f t="shared" si="11"/>
        <v>0</v>
      </c>
    </row>
    <row r="203" spans="29:30" ht="18" customHeight="1" x14ac:dyDescent="0.2">
      <c r="AC203" s="100">
        <v>7439965</v>
      </c>
      <c r="AD203" s="100">
        <f t="shared" si="11"/>
        <v>0</v>
      </c>
    </row>
    <row r="204" spans="29:30" ht="18" customHeight="1" x14ac:dyDescent="0.2">
      <c r="AC204" s="100">
        <v>7439976</v>
      </c>
      <c r="AD204" s="100">
        <f t="shared" si="11"/>
        <v>0</v>
      </c>
    </row>
    <row r="205" spans="29:30" ht="18" customHeight="1" x14ac:dyDescent="0.2">
      <c r="AC205" s="100">
        <v>7440020</v>
      </c>
      <c r="AD205" s="100">
        <f t="shared" si="11"/>
        <v>0</v>
      </c>
    </row>
    <row r="206" spans="29:30" ht="18" customHeight="1" x14ac:dyDescent="0.2">
      <c r="AC206" s="100">
        <v>7440360</v>
      </c>
      <c r="AD206" s="100">
        <f t="shared" si="11"/>
        <v>0</v>
      </c>
    </row>
    <row r="207" spans="29:30" ht="18" customHeight="1" x14ac:dyDescent="0.2">
      <c r="AC207" s="100">
        <v>7440382</v>
      </c>
      <c r="AD207" s="100">
        <f t="shared" si="11"/>
        <v>0</v>
      </c>
    </row>
    <row r="208" spans="29:30" ht="18" customHeight="1" x14ac:dyDescent="0.2">
      <c r="AC208" s="100">
        <v>7440417</v>
      </c>
      <c r="AD208" s="100">
        <f t="shared" si="11"/>
        <v>0</v>
      </c>
    </row>
    <row r="209" spans="29:30" ht="18" customHeight="1" x14ac:dyDescent="0.2">
      <c r="AC209" s="100">
        <v>7440439</v>
      </c>
      <c r="AD209" s="100">
        <f t="shared" si="11"/>
        <v>0</v>
      </c>
    </row>
    <row r="210" spans="29:30" ht="18" customHeight="1" x14ac:dyDescent="0.2">
      <c r="AC210" s="100">
        <v>7440473</v>
      </c>
      <c r="AD210" s="100">
        <f t="shared" si="11"/>
        <v>0</v>
      </c>
    </row>
    <row r="211" spans="29:30" ht="18" customHeight="1" x14ac:dyDescent="0.2">
      <c r="AC211" s="100">
        <v>7440484</v>
      </c>
      <c r="AD211" s="100">
        <f t="shared" si="11"/>
        <v>0</v>
      </c>
    </row>
    <row r="212" spans="29:30" ht="18" customHeight="1" x14ac:dyDescent="0.2">
      <c r="AC212" s="100">
        <v>7550450</v>
      </c>
      <c r="AD212" s="100">
        <f t="shared" si="11"/>
        <v>0</v>
      </c>
    </row>
    <row r="213" spans="29:30" ht="18" customHeight="1" x14ac:dyDescent="0.2">
      <c r="AC213" s="100">
        <v>7647010</v>
      </c>
      <c r="AD213" s="100">
        <f t="shared" si="11"/>
        <v>0</v>
      </c>
    </row>
    <row r="214" spans="29:30" ht="18" customHeight="1" x14ac:dyDescent="0.2">
      <c r="AC214" s="100">
        <v>7664393</v>
      </c>
      <c r="AD214" s="100">
        <f t="shared" si="11"/>
        <v>0</v>
      </c>
    </row>
    <row r="215" spans="29:30" ht="18" customHeight="1" x14ac:dyDescent="0.2">
      <c r="AC215" s="100">
        <v>7723140</v>
      </c>
      <c r="AD215" s="100">
        <f t="shared" si="11"/>
        <v>0</v>
      </c>
    </row>
    <row r="216" spans="29:30" ht="18" customHeight="1" x14ac:dyDescent="0.2">
      <c r="AC216" s="100">
        <v>7782492</v>
      </c>
      <c r="AD216" s="100">
        <f t="shared" si="11"/>
        <v>0</v>
      </c>
    </row>
    <row r="217" spans="29:30" ht="18" customHeight="1" x14ac:dyDescent="0.2">
      <c r="AC217" s="100">
        <v>7782505</v>
      </c>
      <c r="AD217" s="100">
        <f t="shared" si="11"/>
        <v>0</v>
      </c>
    </row>
    <row r="218" spans="29:30" ht="18" customHeight="1" x14ac:dyDescent="0.2">
      <c r="AC218" s="100">
        <v>7803512</v>
      </c>
      <c r="AD218" s="100">
        <f t="shared" si="11"/>
        <v>0</v>
      </c>
    </row>
    <row r="219" spans="29:30" ht="18" customHeight="1" x14ac:dyDescent="0.2">
      <c r="AC219" s="100">
        <v>8001352</v>
      </c>
      <c r="AD219" s="100">
        <f t="shared" si="11"/>
        <v>0</v>
      </c>
    </row>
    <row r="220" spans="29:30" ht="18" customHeight="1" x14ac:dyDescent="0.2"/>
    <row r="221" spans="29:30" ht="18" customHeight="1" x14ac:dyDescent="0.2"/>
    <row r="222" spans="29:30" ht="18" customHeight="1" x14ac:dyDescent="0.2"/>
    <row r="223" spans="29:30" ht="18" customHeight="1" x14ac:dyDescent="0.2"/>
    <row r="224" spans="29:30"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row r="247" ht="18" customHeight="1" x14ac:dyDescent="0.2"/>
    <row r="248" ht="18" customHeight="1" x14ac:dyDescent="0.2"/>
    <row r="249" ht="18" customHeight="1" x14ac:dyDescent="0.2"/>
    <row r="250" ht="18" customHeight="1" x14ac:dyDescent="0.2"/>
    <row r="251" ht="18" customHeight="1" x14ac:dyDescent="0.2"/>
    <row r="252" ht="18" customHeight="1" x14ac:dyDescent="0.2"/>
    <row r="253" ht="18" customHeight="1" x14ac:dyDescent="0.2"/>
    <row r="254" ht="18" customHeight="1" x14ac:dyDescent="0.2"/>
    <row r="255" ht="18" customHeight="1" x14ac:dyDescent="0.2"/>
    <row r="256" ht="18" customHeight="1" x14ac:dyDescent="0.2"/>
    <row r="257" ht="18" customHeight="1" x14ac:dyDescent="0.2"/>
    <row r="258" ht="18" customHeight="1" x14ac:dyDescent="0.2"/>
    <row r="259" ht="18" customHeight="1" x14ac:dyDescent="0.2"/>
    <row r="260" ht="18" customHeight="1" x14ac:dyDescent="0.2"/>
    <row r="261" ht="18" customHeight="1" x14ac:dyDescent="0.2"/>
    <row r="262" ht="18" customHeight="1" x14ac:dyDescent="0.2"/>
    <row r="263" ht="18" customHeight="1" x14ac:dyDescent="0.2"/>
    <row r="264" ht="18" customHeight="1" x14ac:dyDescent="0.2"/>
    <row r="265" ht="18" customHeight="1" x14ac:dyDescent="0.2"/>
    <row r="266" ht="18" customHeight="1" x14ac:dyDescent="0.2"/>
    <row r="267" ht="18" customHeight="1" x14ac:dyDescent="0.2"/>
    <row r="268" ht="18" customHeight="1" x14ac:dyDescent="0.2"/>
    <row r="269" ht="18" customHeight="1" x14ac:dyDescent="0.2"/>
    <row r="270" ht="18" customHeight="1" x14ac:dyDescent="0.2"/>
    <row r="271" ht="18" customHeight="1" x14ac:dyDescent="0.2"/>
    <row r="272" ht="18" customHeight="1" x14ac:dyDescent="0.2"/>
    <row r="273" ht="18" customHeight="1" x14ac:dyDescent="0.2"/>
    <row r="274" ht="18" customHeight="1" x14ac:dyDescent="0.2"/>
    <row r="275" ht="18" customHeight="1" x14ac:dyDescent="0.2"/>
    <row r="276" ht="18" customHeight="1" x14ac:dyDescent="0.2"/>
    <row r="277" ht="18" customHeight="1" x14ac:dyDescent="0.2"/>
    <row r="278" ht="18" customHeight="1" x14ac:dyDescent="0.2"/>
    <row r="279" ht="18" customHeight="1" x14ac:dyDescent="0.2"/>
    <row r="280" ht="18" customHeight="1" x14ac:dyDescent="0.2"/>
    <row r="281" ht="18" customHeight="1" x14ac:dyDescent="0.2"/>
    <row r="282" ht="18" customHeight="1" x14ac:dyDescent="0.2"/>
    <row r="283" ht="18" customHeight="1" x14ac:dyDescent="0.2"/>
    <row r="284" ht="18" customHeight="1" x14ac:dyDescent="0.2"/>
    <row r="285" ht="18" customHeight="1" x14ac:dyDescent="0.2"/>
    <row r="286" ht="18" customHeight="1" x14ac:dyDescent="0.2"/>
    <row r="287" ht="18" customHeight="1" x14ac:dyDescent="0.2"/>
  </sheetData>
  <sheetProtection algorithmName="SHA-512" hashValue="fHf0QVAs+bYydo/eSe6y8uTCm2yYuMB67oHwvHZkxPIMKyg0UXscyHeYcA++0zxb7oeChizPREIOkid1NUPXjg==" saltValue="erzffDsk6eJGTr6+ydbOHA==" spinCount="100000" sheet="1" objects="1" scenarios="1"/>
  <dataConsolidate/>
  <mergeCells count="37">
    <mergeCell ref="B11:L11"/>
    <mergeCell ref="B10:L10"/>
    <mergeCell ref="A14:L14"/>
    <mergeCell ref="H16:H17"/>
    <mergeCell ref="A26:L26"/>
    <mergeCell ref="B13:L13"/>
    <mergeCell ref="B12:L12"/>
    <mergeCell ref="A1:L1"/>
    <mergeCell ref="C16:C17"/>
    <mergeCell ref="D16:D17"/>
    <mergeCell ref="E16:E17"/>
    <mergeCell ref="F16:F17"/>
    <mergeCell ref="G16:G17"/>
    <mergeCell ref="A16:A17"/>
    <mergeCell ref="B16:B17"/>
    <mergeCell ref="B9:L9"/>
    <mergeCell ref="B5:L5"/>
    <mergeCell ref="B4:L4"/>
    <mergeCell ref="B3:L3"/>
    <mergeCell ref="A2:L2"/>
    <mergeCell ref="B6:L6"/>
    <mergeCell ref="B8:L8"/>
    <mergeCell ref="B7:L7"/>
    <mergeCell ref="A30:L30"/>
    <mergeCell ref="A36:A37"/>
    <mergeCell ref="B36:B37"/>
    <mergeCell ref="C36:C37"/>
    <mergeCell ref="H36:H37"/>
    <mergeCell ref="G36:G37"/>
    <mergeCell ref="F36:F37"/>
    <mergeCell ref="E36:E37"/>
    <mergeCell ref="D36:D37"/>
    <mergeCell ref="A34:L34"/>
    <mergeCell ref="A33:H33"/>
    <mergeCell ref="A31:L31"/>
    <mergeCell ref="I33:L33"/>
    <mergeCell ref="A35:J35"/>
  </mergeCells>
  <conditionalFormatting sqref="B38:B69">
    <cfRule type="expression" dxfId="120" priority="21">
      <formula>J38="Enter HAP Name"</formula>
    </cfRule>
  </conditionalFormatting>
  <conditionalFormatting sqref="C38:C69">
    <cfRule type="expression" dxfId="119" priority="18">
      <formula>AND(NOT(ISBLANK(C38)),NOT(ISNUMBER(MATCH(C38,$AC$37:$AC$219,0))))</formula>
    </cfRule>
  </conditionalFormatting>
  <conditionalFormatting sqref="C38:L69">
    <cfRule type="expression" dxfId="118" priority="20">
      <formula>AND(ISTEXT($B38),ISBLANK(C38))</formula>
    </cfRule>
  </conditionalFormatting>
  <conditionalFormatting sqref="D38:F69 I38:I69 K38:K69">
    <cfRule type="expression" dxfId="117" priority="1">
      <formula>AND(ISBLANK($A38),NOT(ISBLANK($B38)))</formula>
    </cfRule>
  </conditionalFormatting>
  <conditionalFormatting sqref="I38:I69 E38:E69 K38:K69 G38:G69">
    <cfRule type="expression" dxfId="116" priority="15">
      <formula>ISTEXT(E38)</formula>
    </cfRule>
  </conditionalFormatting>
  <conditionalFormatting sqref="I38:I69">
    <cfRule type="expression" dxfId="115" priority="2">
      <formula>OR(AND(F38="POUNDS",H38="WEIGHT %"),AND(F38="GALLONS",H38="LBS/GALLON"))</formula>
    </cfRule>
  </conditionalFormatting>
  <dataValidations disablePrompts="1" count="2">
    <dataValidation type="list" errorStyle="warning" showInputMessage="1" showErrorMessage="1" errorTitle="Error." error="Must select either 'pounds' or 'gallons'!" promptTitle="Throughput Units" prompt="Indicate what units your material throughput is provided in." sqref="F38:F69" xr:uid="{00000000-0002-0000-0B00-000000000000}">
      <formula1>$W$38:$W$39</formula1>
    </dataValidation>
    <dataValidation type="list" errorStyle="warning" showInputMessage="1" showErrorMessage="1" errorTitle="Error!" error="Must provide HAP Content in either 'weight %' or 'lbs/gallon'." promptTitle="HAP Content" prompt="Indicate whether your HAP content is provided in 'weight %' or 'lbs/gallon'." sqref="H38:H69" xr:uid="{00000000-0002-0000-0B00-000001000000}">
      <formula1>$Z$38:$Z$39</formula1>
    </dataValidation>
  </dataValidations>
  <hyperlinks>
    <hyperlink ref="I33:L33" location="'HAP CAS &amp; Names'!A1" display="For a complete list of EPA regulated Hazardous Air Pollutants, including CAS Numbers, click here." xr:uid="{00000000-0004-0000-0B00-000000000000}"/>
    <hyperlink ref="A14:L14" location="'HAP CAS &amp; Names'!A1" display="CLICK HERE FOR EPA'S LIST OF HAZARDOUS AIR POLLUTANTS (HAP)." xr:uid="{00000000-0004-0000-0B00-000001000000}"/>
  </hyperlinks>
  <printOptions horizontalCentered="1"/>
  <pageMargins left="0.5" right="0.4" top="0.5" bottom="0.5" header="0.3" footer="0.3"/>
  <pageSetup scale="73" fitToHeight="0" orientation="landscape" r:id="rId1"/>
  <headerFooter>
    <oddFooter>&amp;L&amp;A&amp;RPage &amp;P</oddFooter>
  </headerFooter>
  <drawing r:id="rId2"/>
  <extLst>
    <ext xmlns:x14="http://schemas.microsoft.com/office/spreadsheetml/2009/9/main" uri="{CCE6A557-97BC-4b89-ADB6-D9C93CAAB3DF}">
      <x14:dataValidations xmlns:xm="http://schemas.microsoft.com/office/excel/2006/main" disablePrompts="1" count="1">
        <x14:dataValidation type="list" errorStyle="warning" showDropDown="1" showInputMessage="1" showErrorMessage="1" errorTitle="Invalid CAS #" error="The CAS # you have entered is invalid.  Check the CAS # for the pollutant you entered and try again." prompt="Enter the CAS Number for the HAP listed.  The number entered must be a valid CAS Number." xr:uid="{00000000-0002-0000-0B00-000002000000}">
          <x14:formula1>
            <xm:f>'HAP CAS &amp; Names'!$F$4:$F$186</xm:f>
          </x14:formula1>
          <xm:sqref>C38:C69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002060"/>
    <pageSetUpPr fitToPage="1"/>
  </sheetPr>
  <dimension ref="A1:O26"/>
  <sheetViews>
    <sheetView zoomScaleNormal="100" zoomScalePageLayoutView="85" workbookViewId="0">
      <selection sqref="A1:J1"/>
    </sheetView>
  </sheetViews>
  <sheetFormatPr defaultRowHeight="15" x14ac:dyDescent="0.25"/>
  <cols>
    <col min="1" max="1" width="29.7109375" style="64" customWidth="1"/>
    <col min="2" max="6" width="22.7109375" style="64" customWidth="1"/>
    <col min="7" max="7" width="4.5703125" style="64" customWidth="1"/>
    <col min="8" max="16384" width="9.140625" style="64"/>
  </cols>
  <sheetData>
    <row r="1" spans="1:15" s="69" customFormat="1" ht="26.25" customHeight="1" thickBot="1" x14ac:dyDescent="0.3">
      <c r="A1" s="1255" t="s">
        <v>2277</v>
      </c>
      <c r="B1" s="1255"/>
      <c r="C1" s="1255"/>
      <c r="D1" s="1255"/>
      <c r="E1" s="1255"/>
      <c r="F1" s="1255"/>
      <c r="G1" s="1255"/>
      <c r="H1" s="1255"/>
      <c r="I1" s="1255"/>
      <c r="J1" s="1255"/>
      <c r="K1" s="79"/>
      <c r="L1" s="79"/>
    </row>
    <row r="2" spans="1:15" s="68" customFormat="1" ht="20.100000000000001" customHeight="1" x14ac:dyDescent="0.25">
      <c r="A2" s="1257" t="s">
        <v>1789</v>
      </c>
      <c r="B2" s="1257"/>
      <c r="C2" s="1257"/>
      <c r="D2" s="1257"/>
      <c r="E2" s="1257"/>
      <c r="F2" s="1257"/>
      <c r="G2" s="1257"/>
      <c r="H2" s="1257"/>
      <c r="I2" s="1257"/>
      <c r="J2" s="1257"/>
      <c r="K2" s="122"/>
      <c r="L2" s="122"/>
    </row>
    <row r="3" spans="1:15" ht="54.95" customHeight="1" x14ac:dyDescent="0.25">
      <c r="A3" s="1204" t="s">
        <v>1811</v>
      </c>
      <c r="B3" s="1204"/>
      <c r="C3" s="1204"/>
      <c r="D3" s="1204"/>
      <c r="E3" s="1204"/>
      <c r="F3" s="1204"/>
      <c r="G3" s="1204"/>
      <c r="H3" s="1204"/>
      <c r="I3" s="1204"/>
      <c r="J3" s="1204"/>
      <c r="K3" s="123"/>
      <c r="L3" s="123"/>
    </row>
    <row r="4" spans="1:15" ht="39.950000000000003" customHeight="1" x14ac:dyDescent="0.25">
      <c r="A4" s="1204" t="s">
        <v>1790</v>
      </c>
      <c r="B4" s="1204"/>
      <c r="C4" s="1204"/>
      <c r="D4" s="1204"/>
      <c r="E4" s="1204"/>
      <c r="F4" s="1204"/>
      <c r="G4" s="1204"/>
      <c r="H4" s="1204"/>
      <c r="I4" s="1204"/>
      <c r="J4" s="1204"/>
      <c r="K4" s="123"/>
      <c r="L4" s="123"/>
    </row>
    <row r="5" spans="1:15" ht="20.100000000000001" customHeight="1" thickBot="1" x14ac:dyDescent="0.3">
      <c r="A5" s="1210" t="s">
        <v>1791</v>
      </c>
      <c r="B5" s="1210"/>
      <c r="C5" s="1210"/>
      <c r="D5" s="1210"/>
      <c r="E5" s="1210"/>
      <c r="F5" s="1210"/>
      <c r="G5" s="1210"/>
      <c r="H5" s="1210"/>
      <c r="I5" s="1210"/>
      <c r="J5" s="1210"/>
      <c r="K5" s="123"/>
      <c r="L5" s="123"/>
    </row>
    <row r="6" spans="1:15" s="77" customFormat="1" ht="19.5" thickBot="1" x14ac:dyDescent="0.3">
      <c r="A6" s="1211" t="s">
        <v>1537</v>
      </c>
      <c r="B6" s="1211"/>
      <c r="C6" s="1211"/>
      <c r="D6" s="1211"/>
      <c r="E6" s="1211"/>
      <c r="F6" s="1211"/>
      <c r="G6" s="1211"/>
      <c r="H6" s="1211"/>
      <c r="I6" s="1211"/>
      <c r="J6" s="1211"/>
      <c r="K6" s="90"/>
      <c r="L6" s="90"/>
    </row>
    <row r="7" spans="1:15" ht="60" customHeight="1" x14ac:dyDescent="0.25">
      <c r="A7" s="1404"/>
      <c r="B7" s="1404"/>
      <c r="C7" s="1404"/>
      <c r="D7" s="1404"/>
      <c r="E7" s="1404"/>
      <c r="F7" s="1404"/>
    </row>
    <row r="8" spans="1:15" s="100" customFormat="1" ht="24.95" customHeight="1" x14ac:dyDescent="0.25">
      <c r="A8" s="1405" t="s">
        <v>1405</v>
      </c>
      <c r="B8" s="1405"/>
      <c r="C8" s="1405"/>
      <c r="D8" s="1405"/>
      <c r="E8" s="1405"/>
      <c r="F8" s="1405"/>
      <c r="G8" s="181"/>
      <c r="H8" s="181"/>
      <c r="I8" s="181"/>
      <c r="J8" s="181"/>
      <c r="K8" s="182"/>
      <c r="L8" s="64"/>
      <c r="M8" s="64"/>
      <c r="N8" s="64"/>
      <c r="O8" s="64"/>
    </row>
    <row r="9" spans="1:15" s="100" customFormat="1" ht="24.95" customHeight="1" thickBot="1" x14ac:dyDescent="0.3">
      <c r="A9" s="1408" t="s">
        <v>2346</v>
      </c>
      <c r="B9" s="1408"/>
      <c r="C9" s="1408"/>
      <c r="D9" s="1408"/>
      <c r="E9" s="1408"/>
      <c r="F9" s="843" t="str">
        <f>"Ver."&amp;" "&amp;TEXT(Introduction!$M$3,"MM/YYYY")</f>
        <v>Ver. 01/2025</v>
      </c>
      <c r="G9" s="183"/>
      <c r="H9" s="183"/>
      <c r="I9" s="183"/>
      <c r="J9" s="183"/>
      <c r="K9" s="182"/>
      <c r="L9" s="64"/>
      <c r="M9" s="64"/>
      <c r="N9" s="64"/>
      <c r="O9" s="64"/>
    </row>
    <row r="10" spans="1:15" ht="73.5" customHeight="1" x14ac:dyDescent="0.25">
      <c r="A10" s="1406" t="s">
        <v>1787</v>
      </c>
      <c r="B10" s="605" t="s">
        <v>256</v>
      </c>
      <c r="C10" s="605" t="s">
        <v>2034</v>
      </c>
      <c r="D10" s="1411" t="s">
        <v>257</v>
      </c>
      <c r="E10" s="605" t="s">
        <v>2035</v>
      </c>
      <c r="F10" s="1409" t="s">
        <v>257</v>
      </c>
    </row>
    <row r="11" spans="1:15" ht="20.100000000000001" customHeight="1" thickBot="1" x14ac:dyDescent="0.3">
      <c r="A11" s="1407"/>
      <c r="B11" s="27" t="s">
        <v>261</v>
      </c>
      <c r="C11" s="27" t="s">
        <v>261</v>
      </c>
      <c r="D11" s="1412"/>
      <c r="E11" s="27" t="s">
        <v>261</v>
      </c>
      <c r="F11" s="1417"/>
    </row>
    <row r="12" spans="1:15" ht="13.5" customHeight="1" thickBot="1" x14ac:dyDescent="0.3">
      <c r="A12" s="1414"/>
      <c r="B12" s="1415"/>
      <c r="C12" s="1415"/>
      <c r="D12" s="1415"/>
      <c r="E12" s="1415"/>
      <c r="F12" s="1416"/>
    </row>
    <row r="13" spans="1:15" ht="20.100000000000001" customHeight="1" x14ac:dyDescent="0.25">
      <c r="A13" s="22" t="s">
        <v>258</v>
      </c>
      <c r="B13" s="28">
        <f ca="1">'Table 5-A| Primary MPTE'!G114</f>
        <v>0</v>
      </c>
      <c r="C13" s="24">
        <v>15</v>
      </c>
      <c r="D13" s="23" t="str">
        <f t="shared" ref="D13:D18" ca="1" si="0">IF(OR(B13&gt;C13,B13=C13),"Yes","No")</f>
        <v>No</v>
      </c>
      <c r="E13" s="24">
        <v>100</v>
      </c>
      <c r="F13" s="617" t="str">
        <f ca="1">IF(OR(B13&gt;E13,B13=E13),"Yes","No")</f>
        <v>No</v>
      </c>
      <c r="H13" s="598"/>
      <c r="I13" s="597"/>
      <c r="J13" s="597"/>
      <c r="K13" s="597"/>
    </row>
    <row r="14" spans="1:15" ht="20.100000000000001" customHeight="1" x14ac:dyDescent="0.25">
      <c r="A14" s="21" t="s">
        <v>259</v>
      </c>
      <c r="B14" s="29">
        <f ca="1">'Table 5-A| Primary MPTE'!G115</f>
        <v>0</v>
      </c>
      <c r="C14" s="20">
        <v>10</v>
      </c>
      <c r="D14" s="19" t="str">
        <f t="shared" ca="1" si="0"/>
        <v>No</v>
      </c>
      <c r="E14" s="608"/>
      <c r="F14" s="622" t="s">
        <v>73</v>
      </c>
      <c r="H14" s="597"/>
      <c r="I14" s="597"/>
      <c r="J14" s="597"/>
      <c r="K14" s="597"/>
    </row>
    <row r="15" spans="1:15" ht="20.100000000000001" customHeight="1" x14ac:dyDescent="0.25">
      <c r="A15" s="21" t="s">
        <v>3</v>
      </c>
      <c r="B15" s="29">
        <f ca="1">'Table 5-A| Primary MPTE'!G116</f>
        <v>0</v>
      </c>
      <c r="C15" s="20">
        <v>40</v>
      </c>
      <c r="D15" s="19" t="str">
        <f t="shared" ca="1" si="0"/>
        <v>No</v>
      </c>
      <c r="E15" s="20">
        <v>100</v>
      </c>
      <c r="F15" s="618" t="str">
        <f t="shared" ref="F15:F18" ca="1" si="1">IF(OR(B15&gt;E15,B15=E15),"Yes","No")</f>
        <v>No</v>
      </c>
      <c r="H15" s="597"/>
      <c r="I15" s="597"/>
      <c r="J15" s="597"/>
      <c r="K15" s="597"/>
    </row>
    <row r="16" spans="1:15" ht="20.100000000000001" customHeight="1" x14ac:dyDescent="0.25">
      <c r="A16" s="21" t="s">
        <v>4</v>
      </c>
      <c r="B16" s="29">
        <f ca="1">'Table 5-A| Primary MPTE'!G117</f>
        <v>0</v>
      </c>
      <c r="C16" s="20">
        <v>40</v>
      </c>
      <c r="D16" s="19" t="str">
        <f t="shared" ca="1" si="0"/>
        <v>No</v>
      </c>
      <c r="E16" s="20">
        <v>100</v>
      </c>
      <c r="F16" s="618" t="str">
        <f t="shared" ca="1" si="1"/>
        <v>No</v>
      </c>
      <c r="H16" s="597"/>
      <c r="I16" s="597"/>
      <c r="J16" s="597"/>
      <c r="K16" s="597"/>
    </row>
    <row r="17" spans="1:11" ht="20.100000000000001" customHeight="1" x14ac:dyDescent="0.25">
      <c r="A17" s="21" t="s">
        <v>0</v>
      </c>
      <c r="B17" s="29">
        <f ca="1">'Table 5-A| Primary MPTE'!G118</f>
        <v>0</v>
      </c>
      <c r="C17" s="20">
        <v>40</v>
      </c>
      <c r="D17" s="19" t="str">
        <f t="shared" ca="1" si="0"/>
        <v>No</v>
      </c>
      <c r="E17" s="20">
        <v>100</v>
      </c>
      <c r="F17" s="618" t="str">
        <f t="shared" ca="1" si="1"/>
        <v>No</v>
      </c>
      <c r="H17" s="597"/>
      <c r="I17" s="597"/>
      <c r="J17" s="597"/>
      <c r="K17" s="597"/>
    </row>
    <row r="18" spans="1:11" ht="20.100000000000001" customHeight="1" x14ac:dyDescent="0.25">
      <c r="A18" s="21" t="s">
        <v>5</v>
      </c>
      <c r="B18" s="29">
        <f ca="1">'Table 5-A| Primary MPTE'!G119</f>
        <v>0</v>
      </c>
      <c r="C18" s="20">
        <v>50</v>
      </c>
      <c r="D18" s="19" t="str">
        <f t="shared" ca="1" si="0"/>
        <v>No</v>
      </c>
      <c r="E18" s="20">
        <v>100</v>
      </c>
      <c r="F18" s="618" t="str">
        <f t="shared" ca="1" si="1"/>
        <v>No</v>
      </c>
      <c r="H18" s="597"/>
      <c r="I18" s="597"/>
      <c r="J18" s="597"/>
      <c r="K18" s="597"/>
    </row>
    <row r="19" spans="1:11" ht="20.100000000000001" customHeight="1" x14ac:dyDescent="0.25">
      <c r="A19" s="21" t="s">
        <v>236</v>
      </c>
      <c r="B19" s="29">
        <f ca="1">'Table 5-A| Primary MPTE'!G120</f>
        <v>0</v>
      </c>
      <c r="C19" s="20">
        <v>0.6</v>
      </c>
      <c r="D19" s="19" t="str">
        <f t="shared" ref="D19" ca="1" si="2">IF(OR(B19&gt;C19,B19=C19),"Yes","No")</f>
        <v>No</v>
      </c>
      <c r="E19" s="20">
        <v>5</v>
      </c>
      <c r="F19" s="618" t="str">
        <f t="shared" ref="F19" ca="1" si="3">IF(OR(B19&gt;E19,B19=E19),"Yes","No")</f>
        <v>No</v>
      </c>
      <c r="H19" s="597"/>
      <c r="I19" s="597"/>
      <c r="J19" s="597"/>
      <c r="K19" s="597"/>
    </row>
    <row r="20" spans="1:11" ht="20.100000000000001" customHeight="1" thickBot="1" x14ac:dyDescent="0.3">
      <c r="A20" s="21" t="s">
        <v>2036</v>
      </c>
      <c r="B20" s="29">
        <f ca="1">'Table 5-A| Primary MPTE'!G121</f>
        <v>0</v>
      </c>
      <c r="C20" s="608"/>
      <c r="D20" s="609" t="s">
        <v>73</v>
      </c>
      <c r="E20" s="608"/>
      <c r="F20" s="622" t="s">
        <v>73</v>
      </c>
      <c r="H20" s="597"/>
      <c r="I20" s="597"/>
      <c r="J20" s="597"/>
      <c r="K20" s="597"/>
    </row>
    <row r="21" spans="1:11" ht="13.5" customHeight="1" thickBot="1" x14ac:dyDescent="0.3">
      <c r="A21" s="1414"/>
      <c r="B21" s="1415"/>
      <c r="C21" s="1415"/>
      <c r="D21" s="1415"/>
      <c r="E21" s="1415"/>
      <c r="F21" s="1416"/>
    </row>
    <row r="22" spans="1:11" ht="72.75" customHeight="1" x14ac:dyDescent="0.25">
      <c r="A22" s="1406" t="s">
        <v>1788</v>
      </c>
      <c r="B22" s="605" t="s">
        <v>256</v>
      </c>
      <c r="C22" s="605" t="s">
        <v>2032</v>
      </c>
      <c r="D22" s="1411" t="s">
        <v>257</v>
      </c>
      <c r="E22" s="605" t="s">
        <v>2033</v>
      </c>
      <c r="F22" s="1409" t="s">
        <v>257</v>
      </c>
    </row>
    <row r="23" spans="1:11" ht="20.100000000000001" customHeight="1" thickBot="1" x14ac:dyDescent="0.3">
      <c r="A23" s="1413"/>
      <c r="B23" s="26" t="s">
        <v>261</v>
      </c>
      <c r="C23" s="27" t="s">
        <v>261</v>
      </c>
      <c r="D23" s="1412"/>
      <c r="E23" s="27" t="s">
        <v>261</v>
      </c>
      <c r="F23" s="1410"/>
    </row>
    <row r="24" spans="1:11" ht="13.5" customHeight="1" thickBot="1" x14ac:dyDescent="0.3">
      <c r="A24" s="606"/>
      <c r="B24" s="607"/>
      <c r="C24" s="607"/>
      <c r="D24" s="607"/>
      <c r="E24" s="607"/>
      <c r="F24" s="619"/>
    </row>
    <row r="25" spans="1:11" ht="20.100000000000001" customHeight="1" x14ac:dyDescent="0.25">
      <c r="A25" s="21" t="s">
        <v>262</v>
      </c>
      <c r="B25" s="457">
        <f>IFERROR(LARGE('Table 5-C| MPTE HAP'!$AD$37:$AD$219,1)/2000,0)</f>
        <v>0</v>
      </c>
      <c r="C25" s="20">
        <v>2.5</v>
      </c>
      <c r="D25" s="19" t="str">
        <f>IF(OR(B25&gt;C25,B25=C25),"Yes","No")</f>
        <v>No</v>
      </c>
      <c r="E25" s="20">
        <v>10</v>
      </c>
      <c r="F25" s="618" t="str">
        <f>IF(OR(B25&gt;E25,B25=E25),"Yes","No")</f>
        <v>No</v>
      </c>
      <c r="H25" s="455"/>
    </row>
    <row r="26" spans="1:11" ht="20.100000000000001" customHeight="1" thickBot="1" x14ac:dyDescent="0.3">
      <c r="A26" s="449" t="s">
        <v>263</v>
      </c>
      <c r="B26" s="450">
        <f ca="1">'Table 5-A| Primary MPTE'!G124</f>
        <v>0</v>
      </c>
      <c r="C26" s="451">
        <v>10</v>
      </c>
      <c r="D26" s="452" t="str">
        <f ca="1">IF(OR(B26&gt;C26,B26=C26),"Yes","No")</f>
        <v>No</v>
      </c>
      <c r="E26" s="451">
        <v>25</v>
      </c>
      <c r="F26" s="620" t="str">
        <f ca="1">IF(OR(B26&gt;E26,B26=E26),"Yes","No")</f>
        <v>No</v>
      </c>
    </row>
  </sheetData>
  <sheetProtection algorithmName="SHA-512" hashValue="iAs9hy+8uUB3/CAaa8e8hzthR1P9gIWSGJN1vDGU6PXxOanpdrSY2lH51XcAM3iH01zNGQ/7PONwM0q0L0W0bQ==" saltValue="ga0EDRx2QPnkdh0REQaIkw==" spinCount="100000" sheet="1" objects="1" scenarios="1"/>
  <mergeCells count="17">
    <mergeCell ref="F22:F23"/>
    <mergeCell ref="D22:D23"/>
    <mergeCell ref="A22:A23"/>
    <mergeCell ref="A12:F12"/>
    <mergeCell ref="F10:F11"/>
    <mergeCell ref="D10:D11"/>
    <mergeCell ref="A21:F21"/>
    <mergeCell ref="A7:F7"/>
    <mergeCell ref="A8:F8"/>
    <mergeCell ref="A10:A11"/>
    <mergeCell ref="A1:J1"/>
    <mergeCell ref="A5:J5"/>
    <mergeCell ref="A4:J4"/>
    <mergeCell ref="A3:J3"/>
    <mergeCell ref="A2:J2"/>
    <mergeCell ref="A6:J6"/>
    <mergeCell ref="A9:E9"/>
  </mergeCells>
  <conditionalFormatting sqref="D13:D20">
    <cfRule type="expression" dxfId="114" priority="2">
      <formula>D13="Yes"</formula>
    </cfRule>
  </conditionalFormatting>
  <conditionalFormatting sqref="D24:D26">
    <cfRule type="expression" dxfId="113" priority="32">
      <formula>D24="Yes"</formula>
    </cfRule>
  </conditionalFormatting>
  <conditionalFormatting sqref="F13:F20">
    <cfRule type="expression" dxfId="112" priority="1">
      <formula>F13="Yes"</formula>
    </cfRule>
  </conditionalFormatting>
  <conditionalFormatting sqref="F22:F26">
    <cfRule type="expression" dxfId="111" priority="31">
      <formula>F22="Yes"</formula>
    </cfRule>
  </conditionalFormatting>
  <printOptions horizontalCentered="1"/>
  <pageMargins left="0.5" right="0.5" top="0.5" bottom="0.5" header="0.3" footer="0.3"/>
  <pageSetup scale="88" fitToHeight="0" orientation="landscape" r:id="rId1"/>
  <headerFooter>
    <oddFooter>&amp;L&amp;A&amp;RPage &amp;P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2060"/>
    <pageSetUpPr fitToPage="1"/>
  </sheetPr>
  <dimension ref="A1:AC90"/>
  <sheetViews>
    <sheetView showGridLines="0" zoomScaleNormal="100" workbookViewId="0">
      <selection sqref="A1:F1"/>
    </sheetView>
  </sheetViews>
  <sheetFormatPr defaultRowHeight="20.100000000000001" customHeight="1" x14ac:dyDescent="0.25"/>
  <cols>
    <col min="1" max="1" width="28" style="48" customWidth="1"/>
    <col min="2" max="6" width="16.28515625" style="48" customWidth="1"/>
    <col min="7" max="7" width="36" style="48" customWidth="1"/>
    <col min="8" max="12" width="5.7109375" style="48" customWidth="1"/>
    <col min="13" max="16" width="12.7109375" style="48" customWidth="1"/>
    <col min="17" max="17" width="9.42578125" style="48" bestFit="1" customWidth="1"/>
    <col min="18" max="18" width="33.140625" style="48" bestFit="1" customWidth="1"/>
    <col min="19" max="19" width="12.7109375" style="48" customWidth="1"/>
    <col min="20" max="20" width="122.5703125" style="48" bestFit="1" customWidth="1"/>
    <col min="21" max="21" width="93.7109375" style="48" customWidth="1"/>
    <col min="22" max="22" width="90" style="48" customWidth="1"/>
    <col min="23" max="34" width="12.7109375" style="48" customWidth="1"/>
    <col min="35" max="16384" width="9.140625" style="48"/>
  </cols>
  <sheetData>
    <row r="1" spans="1:29" ht="60" customHeight="1" x14ac:dyDescent="0.25">
      <c r="A1" s="1151"/>
      <c r="B1" s="1151"/>
      <c r="C1" s="1151"/>
      <c r="D1" s="1151"/>
      <c r="E1" s="1151"/>
      <c r="F1" s="1151"/>
    </row>
    <row r="2" spans="1:29" ht="24.95" customHeight="1" thickBot="1" x14ac:dyDescent="0.3">
      <c r="A2" s="1003" t="s">
        <v>2067</v>
      </c>
      <c r="B2" s="1003"/>
      <c r="C2" s="1003"/>
      <c r="D2" s="1003"/>
      <c r="E2" s="1003"/>
      <c r="F2" s="1003"/>
      <c r="R2" s="952"/>
      <c r="S2" s="952"/>
      <c r="T2" s="952"/>
      <c r="U2" s="952"/>
      <c r="V2" s="952"/>
      <c r="W2" s="952"/>
      <c r="Y2" s="454"/>
    </row>
    <row r="3" spans="1:29" ht="30" customHeight="1" thickBot="1" x14ac:dyDescent="0.3">
      <c r="A3" s="984" t="s">
        <v>2030</v>
      </c>
      <c r="B3" s="985"/>
      <c r="C3" s="985"/>
      <c r="D3" s="985"/>
      <c r="E3" s="985"/>
      <c r="F3" s="986"/>
      <c r="M3" s="67"/>
      <c r="N3" s="67"/>
      <c r="O3" s="67"/>
      <c r="P3" s="67"/>
      <c r="R3" s="1418" t="s">
        <v>2015</v>
      </c>
      <c r="S3" s="1418"/>
      <c r="T3" s="1418"/>
      <c r="U3" s="126"/>
      <c r="V3" s="126"/>
      <c r="W3" s="67"/>
    </row>
    <row r="4" spans="1:29" ht="65.099999999999994" customHeight="1" x14ac:dyDescent="0.25">
      <c r="A4" s="1099" t="str">
        <f ca="1">IF($S$4=TRUE,$T$4,IF($S$5=TRUE,$T$5,IF($S$6=TRUE,$T$6,IF($S$8=TRUE,$T$8,IF($S$9=TRUE,$T$9,IF($S$11=TRUE,$T$11,""))))))</f>
        <v/>
      </c>
      <c r="B4" s="1131"/>
      <c r="C4" s="1131"/>
      <c r="D4" s="1131"/>
      <c r="E4" s="1131"/>
      <c r="F4" s="1132"/>
      <c r="G4" s="130"/>
      <c r="O4" s="125"/>
      <c r="P4" s="125"/>
      <c r="R4" s="545" t="s">
        <v>2012</v>
      </c>
      <c r="S4" s="126" t="b">
        <f t="array" aca="1" ref="S4" ca="1">IF(AND(OR('Table 5-D| MPTE Thresholds'!$F$13:$F$26="Yes"),OR('Section 1| General Information'!$N$8:$O$8=TRUE,'Section 1| General Information'!$Q$8=TRUE)),TRUE,FALSE)</f>
        <v>0</v>
      </c>
      <c r="T4" s="600" t="s">
        <v>2063</v>
      </c>
      <c r="U4" s="600" t="s">
        <v>2045</v>
      </c>
      <c r="V4" s="600" t="s">
        <v>2046</v>
      </c>
    </row>
    <row r="5" spans="1:29" ht="50.1" customHeight="1" x14ac:dyDescent="0.25">
      <c r="A5" s="1105" t="str">
        <f ca="1">IF($S$4=TRUE,$U$4,IF($S$5=TRUE,$U$5,IF($S$8=TRUE,$U$8,IF($S$9=TRUE,$U$9,IF($S$10=TRUE,$U$10,"")))))</f>
        <v/>
      </c>
      <c r="B5" s="1438"/>
      <c r="C5" s="1438"/>
      <c r="D5" s="1106"/>
      <c r="E5" s="387" t="s">
        <v>1757</v>
      </c>
      <c r="F5" s="388" t="s">
        <v>1756</v>
      </c>
      <c r="G5" s="124" t="str">
        <f>IF(AND(M5=TRUE,N5=TRUE),"Too many boxes checked.","")</f>
        <v/>
      </c>
      <c r="M5" s="475" t="b">
        <v>0</v>
      </c>
      <c r="N5" s="475" t="b">
        <v>0</v>
      </c>
      <c r="O5" s="48" t="b">
        <f>IF(OR(AND(M5=TRUE,N5=TRUE),AND(M5=FALSE,N5=FALSE)),FALSE,TRUE)</f>
        <v>0</v>
      </c>
      <c r="R5" s="545" t="s">
        <v>2013</v>
      </c>
      <c r="S5" s="126" t="b">
        <f t="array" aca="1" ref="S5" ca="1">IF(AND(OR('Table 5-D| MPTE Thresholds'!$D$13:$D$26="Yes"),OR('Section 1| General Information'!$N$8:$O$8=TRUE,'Section 1| General Information'!$Q$8=TRUE),$S$4=FALSE),TRUE,FALSE)</f>
        <v>0</v>
      </c>
      <c r="T5" s="600" t="s">
        <v>2062</v>
      </c>
      <c r="U5" s="600" t="s">
        <v>2043</v>
      </c>
    </row>
    <row r="6" spans="1:29" ht="50.1" customHeight="1" x14ac:dyDescent="0.25">
      <c r="A6" s="1105" t="str">
        <f ca="1">IF(AND(S4=FALSE,S9=FALSE),"",IF(S4=TRUE,V4,IF(S9=TRUE,V9,"")))</f>
        <v/>
      </c>
      <c r="B6" s="1438"/>
      <c r="C6" s="1438"/>
      <c r="D6" s="1106"/>
      <c r="E6" s="603" t="s">
        <v>1757</v>
      </c>
      <c r="F6" s="604" t="s">
        <v>1756</v>
      </c>
      <c r="G6" s="124" t="str">
        <f>IF(AND(M6=TRUE,N6=TRUE),"Too many boxes checked.","")</f>
        <v/>
      </c>
      <c r="M6" s="475" t="b">
        <v>0</v>
      </c>
      <c r="N6" s="475" t="b">
        <v>0</v>
      </c>
      <c r="O6" s="48" t="b">
        <f>IF(OR(AND(M6=TRUE,N6=TRUE),AND(M6=FALSE,N6=FALSE)),FALSE,TRUE)</f>
        <v>0</v>
      </c>
      <c r="R6" s="545" t="s">
        <v>2014</v>
      </c>
      <c r="S6" s="601" t="b">
        <f t="array" aca="1" ref="S6" ca="1">IF(AND('Table 5-D| MPTE Thresholds'!$D$13:$D$20="No",'Table 5-D| MPTE Thresholds'!$D$25:$D$26="No",OR('Section 1| General Information'!$N$8:$O$8=TRUE,'Section 1| General Information'!$Q$8=TRUE)),TRUE,FALSE)</f>
        <v>0</v>
      </c>
      <c r="T6" s="600" t="s">
        <v>2044</v>
      </c>
      <c r="U6" s="602" t="s">
        <v>2031</v>
      </c>
      <c r="Y6" s="599"/>
      <c r="Z6" s="599"/>
      <c r="AA6" s="599"/>
      <c r="AB6" s="599"/>
      <c r="AC6" s="599"/>
    </row>
    <row r="7" spans="1:29" ht="66.75" customHeight="1" x14ac:dyDescent="0.25">
      <c r="A7" s="1055" t="str">
        <f ca="1">IF($S$6=TRUE,$U$6,IF($S$11=TRUE,$U$11,IF($S$13=TRUE,$T$13,IF($S$14=TRUE,$T$14,IF($S$15=TRUE,$T$15,IF($S$16=TRUE,$T$16,IF($S$17=TRUE,$T$17,IF($S$18=TRUE,$T$18,IF($S$19=TRUE,$T$19,IF($S$20=TRUE,$T$20,IF($S$21=TRUE,$T$21,IF($S$22=TRUE,$T$22,""))))))))))))</f>
        <v/>
      </c>
      <c r="B7" s="1428"/>
      <c r="C7" s="1428"/>
      <c r="D7" s="1428"/>
      <c r="E7" s="1428"/>
      <c r="F7" s="1429"/>
      <c r="M7" s="453"/>
      <c r="N7" s="49"/>
      <c r="O7" s="67"/>
      <c r="R7" s="1418" t="s">
        <v>2016</v>
      </c>
      <c r="S7" s="1418"/>
      <c r="T7" s="1418"/>
      <c r="U7" s="600"/>
      <c r="Y7" s="599"/>
      <c r="Z7" s="599"/>
      <c r="AA7" s="599"/>
      <c r="AB7" s="599"/>
      <c r="AC7" s="599"/>
    </row>
    <row r="8" spans="1:29" ht="50.1" customHeight="1" thickBot="1" x14ac:dyDescent="0.3">
      <c r="A8" s="1439"/>
      <c r="B8" s="1440"/>
      <c r="C8" s="1440"/>
      <c r="D8" s="1440"/>
      <c r="E8" s="1440"/>
      <c r="F8" s="1089"/>
      <c r="M8" s="125"/>
      <c r="N8" s="125"/>
      <c r="R8" s="545" t="s">
        <v>2017</v>
      </c>
      <c r="S8" s="126" t="b">
        <f t="array" aca="1" ref="S8" ca="1">IF(AND(OR('Table 5-D| MPTE Thresholds'!$D$13:$D$26="Yes"),OR('Section 1| General Information'!$P$8:$Q$8=TRUE),S9=FALSE),TRUE,FALSE)</f>
        <v>0</v>
      </c>
      <c r="T8" s="600" t="s">
        <v>2060</v>
      </c>
      <c r="U8" s="600" t="s">
        <v>2042</v>
      </c>
      <c r="Y8" s="599"/>
      <c r="Z8" s="599"/>
      <c r="AA8" s="599"/>
      <c r="AB8" s="599"/>
      <c r="AC8" s="599"/>
    </row>
    <row r="9" spans="1:29" ht="30" customHeight="1" thickBot="1" x14ac:dyDescent="0.3">
      <c r="A9" s="984" t="s">
        <v>2065</v>
      </c>
      <c r="B9" s="985"/>
      <c r="C9" s="985"/>
      <c r="D9" s="985"/>
      <c r="E9" s="985"/>
      <c r="F9" s="986"/>
      <c r="R9" s="545" t="s">
        <v>2020</v>
      </c>
      <c r="S9" s="126" t="b">
        <f t="array" aca="1" ref="S9" ca="1">IF(AND(OR('Table 5-D| MPTE Thresholds'!$F$13:$F$26="Yes"),'Section 1| General Information'!$P$8=TRUE),TRUE,FALSE)</f>
        <v>0</v>
      </c>
      <c r="T9" s="600" t="s">
        <v>2061</v>
      </c>
      <c r="U9" s="600" t="s">
        <v>2043</v>
      </c>
      <c r="V9" s="600" t="s">
        <v>2048</v>
      </c>
      <c r="Y9" s="599"/>
      <c r="Z9" s="599"/>
      <c r="AA9" s="599"/>
      <c r="AB9" s="599"/>
      <c r="AC9" s="599"/>
    </row>
    <row r="10" spans="1:29" ht="45" customHeight="1" x14ac:dyDescent="0.25">
      <c r="A10" s="1419" t="str">
        <f ca="1">IF(S20=TRUE,U20,"Not applicable.")</f>
        <v>Not applicable.</v>
      </c>
      <c r="B10" s="1420"/>
      <c r="C10" s="1420"/>
      <c r="D10" s="1420"/>
      <c r="E10" s="1420"/>
      <c r="F10" s="1421"/>
      <c r="O10" s="125"/>
      <c r="Q10" s="125"/>
      <c r="R10" s="545" t="s">
        <v>2019</v>
      </c>
      <c r="S10" s="126" t="b">
        <f t="array" aca="1" ref="S10" ca="1">IF(AND(OR('Table 5-D| MPTE Thresholds'!$D$25:$D$26="Yes"),OR('Section 1| General Information'!$P$8:$Q$8=TRUE)),TRUE,FALSE)</f>
        <v>0</v>
      </c>
      <c r="T10" s="600" t="s">
        <v>2059</v>
      </c>
      <c r="U10" s="600" t="s">
        <v>2049</v>
      </c>
      <c r="Y10" s="599"/>
      <c r="Z10" s="599"/>
      <c r="AA10" s="599"/>
      <c r="AB10" s="599"/>
      <c r="AC10" s="599"/>
    </row>
    <row r="11" spans="1:29" ht="45" customHeight="1" x14ac:dyDescent="0.25">
      <c r="A11" s="610" t="str">
        <f ca="1">IF(S20=TRUE,"       Option A","")</f>
        <v/>
      </c>
      <c r="B11" s="1425" t="str">
        <f ca="1">IF(S20=TRUE,"I would like to obtain a Construction Permit that limits facility-wide potential to emit to less than Class I operating permit thresholds.  I understand that this source will still require a Class II Operating Permit.","")</f>
        <v/>
      </c>
      <c r="C11" s="1426"/>
      <c r="D11" s="1426"/>
      <c r="E11" s="1426"/>
      <c r="F11" s="1427"/>
      <c r="G11" s="124" t="str">
        <f>IF(AND(M11=TRUE,N11=TRUE),"Too many boxes checked.","")</f>
        <v/>
      </c>
      <c r="M11" s="456" t="b">
        <v>0</v>
      </c>
      <c r="N11" s="456" t="b">
        <v>0</v>
      </c>
      <c r="O11" s="48" t="b">
        <f>IF(OR(AND(M11=TRUE,N11=TRUE),AND(M11=FALSE,N11=FALSE)),FALSE,TRUE)</f>
        <v>0</v>
      </c>
      <c r="Q11" s="125"/>
      <c r="R11" s="545" t="s">
        <v>2014</v>
      </c>
      <c r="S11" s="601" t="b">
        <f t="array" aca="1" ref="S11" ca="1">IF(AND('Table 5-D| MPTE Thresholds'!$D$13:$D$20="No",'Table 5-D| MPTE Thresholds'!$D$25:$D$26="No",OR('Section 1| General Information'!$P$8:$Q$8=TRUE)),TRUE,FALSE)</f>
        <v>0</v>
      </c>
      <c r="T11" s="600" t="s">
        <v>2047</v>
      </c>
      <c r="U11" s="600" t="s">
        <v>2031</v>
      </c>
    </row>
    <row r="12" spans="1:29" ht="45" customHeight="1" x14ac:dyDescent="0.25">
      <c r="A12" s="611" t="str">
        <f ca="1">IF(S20=TRUE,"       Option B","")</f>
        <v/>
      </c>
      <c r="B12" s="1422" t="str">
        <f ca="1">IF(S20=TRUE,"I would like to obtain a Construction Permit that limits facility-wide potential to emit to less than Class II operating permit thresholds.  I understand that doing so will mean that this source no longer requries a Class I or Class II Operating Permit.","")</f>
        <v/>
      </c>
      <c r="C12" s="1423"/>
      <c r="D12" s="1423"/>
      <c r="E12" s="1423"/>
      <c r="F12" s="1424"/>
      <c r="M12" s="453"/>
      <c r="N12" s="49"/>
      <c r="O12" s="125"/>
      <c r="R12" s="1418" t="s">
        <v>2018</v>
      </c>
      <c r="S12" s="1418"/>
      <c r="T12" s="1418"/>
      <c r="U12" s="182"/>
      <c r="V12" s="182"/>
      <c r="W12" s="182"/>
      <c r="X12" s="182"/>
      <c r="Y12" s="182"/>
    </row>
    <row r="13" spans="1:29" ht="60" customHeight="1" thickBot="1" x14ac:dyDescent="0.3">
      <c r="A13" s="1439" t="str">
        <f ca="1">IF(AND(S20=TRUE,M11=TRUE,O11=TRUE),"This application will be used to write both your Class II Operating Permit, and your Construction Permit.  Continue with the remainder of the application.",IF(AND(S20=TRUE,N11=TRUE,O11=TRUE),"This application will be used to write your Construction Permit.  Continue with the remainder of the application.",""))</f>
        <v/>
      </c>
      <c r="B13" s="1440"/>
      <c r="C13" s="1440"/>
      <c r="D13" s="1440"/>
      <c r="E13" s="1440"/>
      <c r="F13" s="1089"/>
      <c r="N13" s="125"/>
      <c r="O13" s="125"/>
      <c r="Q13" s="125"/>
      <c r="R13" s="544" t="s">
        <v>2021</v>
      </c>
      <c r="S13" s="126" t="b">
        <f ca="1">IF(AND($S$4=TRUE,$N$5=TRUE,$O$5=TRUE,$N$6=TRUE,$O$6=TRUE),TRUE,FALSE)</f>
        <v>0</v>
      </c>
      <c r="T13" s="544" t="s">
        <v>2051</v>
      </c>
      <c r="U13" s="130"/>
      <c r="V13" s="130"/>
      <c r="W13" s="130"/>
      <c r="X13" s="130"/>
      <c r="Y13" s="130"/>
    </row>
    <row r="14" spans="1:29" ht="35.1" customHeight="1" thickBot="1" x14ac:dyDescent="0.3">
      <c r="A14" s="984" t="s">
        <v>1792</v>
      </c>
      <c r="B14" s="985"/>
      <c r="C14" s="985"/>
      <c r="D14" s="985"/>
      <c r="E14" s="985"/>
      <c r="F14" s="986"/>
      <c r="Q14" s="125"/>
      <c r="R14" s="544" t="s">
        <v>2022</v>
      </c>
      <c r="S14" s="126" t="b">
        <f ca="1">IF(AND($S$9=TRUE,$N$5=TRUE,$O$5=TRUE,$N$6=TRUE,$O$6=TRUE),TRUE,FALSE)</f>
        <v>0</v>
      </c>
      <c r="T14" s="544" t="s">
        <v>2052</v>
      </c>
      <c r="U14" s="130"/>
      <c r="V14" s="130"/>
      <c r="W14" s="130"/>
      <c r="X14" s="130"/>
      <c r="Y14" s="130"/>
    </row>
    <row r="15" spans="1:29" ht="50.1" customHeight="1" x14ac:dyDescent="0.25">
      <c r="A15" s="1419" t="str">
        <f ca="1">IF(AND($S$10=TRUE,$S$16=FALSE),$T$10,"Not applicable.")</f>
        <v>Not applicable.</v>
      </c>
      <c r="B15" s="1420"/>
      <c r="C15" s="1420"/>
      <c r="D15" s="1420"/>
      <c r="E15" s="1420"/>
      <c r="F15" s="1421"/>
      <c r="G15" s="124"/>
      <c r="M15" s="81"/>
      <c r="N15" s="81"/>
      <c r="O15" s="80"/>
      <c r="Q15" s="80"/>
      <c r="R15" s="544" t="s">
        <v>2027</v>
      </c>
      <c r="S15" s="126" t="b">
        <f ca="1">IF(AND($S$9=TRUE,$N$5=TRUE,$O$5=TRUE,$M$6=TRUE,$O$6=TRUE),TRUE,FALSE)</f>
        <v>0</v>
      </c>
      <c r="T15" s="544" t="s">
        <v>2053</v>
      </c>
      <c r="U15" s="130"/>
      <c r="V15" s="130"/>
      <c r="W15" s="130"/>
      <c r="X15" s="130"/>
      <c r="Y15" s="130"/>
    </row>
    <row r="16" spans="1:29" ht="50.1" customHeight="1" x14ac:dyDescent="0.25">
      <c r="A16" s="1105" t="str">
        <f ca="1">IF($S$10=TRUE,$U$10,"")</f>
        <v/>
      </c>
      <c r="B16" s="1438"/>
      <c r="C16" s="1438"/>
      <c r="D16" s="1106"/>
      <c r="E16" s="385" t="s">
        <v>1757</v>
      </c>
      <c r="F16" s="386" t="s">
        <v>1756</v>
      </c>
      <c r="G16" s="124" t="str">
        <f>IF(AND(M16=TRUE,N16=TRUE),"Too many boxes checked.","")</f>
        <v/>
      </c>
      <c r="M16" s="475" t="b">
        <v>0</v>
      </c>
      <c r="N16" s="475" t="b">
        <v>0</v>
      </c>
      <c r="O16" s="48" t="b">
        <f>IF(OR(AND(M16=TRUE,N16=TRUE),AND(M16=FALSE,N16=FALSE)),FALSE,TRUE)</f>
        <v>0</v>
      </c>
      <c r="Q16" s="80"/>
      <c r="R16" s="544" t="s">
        <v>2028</v>
      </c>
      <c r="S16" s="126" t="b">
        <f ca="1">IF(AND($S$9=TRUE,$M$5=TRUE,$O$5=TRUE),TRUE,FALSE)</f>
        <v>0</v>
      </c>
      <c r="T16" s="544" t="s">
        <v>2039</v>
      </c>
      <c r="U16" s="130"/>
      <c r="V16" s="130"/>
      <c r="W16" s="130"/>
      <c r="X16" s="130"/>
      <c r="Y16" s="130"/>
    </row>
    <row r="17" spans="1:25" ht="45" customHeight="1" x14ac:dyDescent="0.25">
      <c r="A17" s="1055" t="str">
        <f ca="1">IF($S$23=TRUE,$T$23,IF($S$24=TRUE,$T$24,""))</f>
        <v/>
      </c>
      <c r="B17" s="1428"/>
      <c r="C17" s="1428"/>
      <c r="D17" s="1428"/>
      <c r="E17" s="1428"/>
      <c r="F17" s="1429"/>
      <c r="G17" s="1442" t="str">
        <f ca="1">IF(S10=FALSE,"",IF(AND(S17=TRUE,N16=TRUE,O16=TRUE),"In Part A, you agreed to keep emissions below Class II thresholds, which are the same as the T-BACT thresholds.  Reevaluate your answers.",""))</f>
        <v/>
      </c>
      <c r="M17" s="453"/>
      <c r="N17" s="49"/>
      <c r="O17" s="125"/>
      <c r="R17" s="544" t="s">
        <v>2037</v>
      </c>
      <c r="S17" s="126" t="b">
        <f ca="1">IF(AND($S$8=TRUE,$M$5=TRUE,$O$5=TRUE),TRUE,FALSE)</f>
        <v>0</v>
      </c>
      <c r="T17" s="544" t="s">
        <v>2040</v>
      </c>
      <c r="U17" s="130"/>
      <c r="V17" s="130"/>
      <c r="W17" s="130"/>
      <c r="X17" s="130"/>
      <c r="Y17" s="130"/>
    </row>
    <row r="18" spans="1:25" ht="45" customHeight="1" thickBot="1" x14ac:dyDescent="0.3">
      <c r="A18" s="1443"/>
      <c r="B18" s="1444"/>
      <c r="C18" s="1444"/>
      <c r="D18" s="1444"/>
      <c r="E18" s="1444"/>
      <c r="F18" s="1445"/>
      <c r="G18" s="1442"/>
      <c r="M18" s="125"/>
      <c r="N18" s="125"/>
      <c r="O18" s="125"/>
      <c r="Q18" s="125"/>
      <c r="R18" s="544" t="s">
        <v>2038</v>
      </c>
      <c r="S18" s="126" t="b">
        <f ca="1">IF(AND($S$8=TRUE,$N$5=TRUE,$O$5=TRUE),TRUE,FALSE)</f>
        <v>0</v>
      </c>
      <c r="T18" s="544" t="s">
        <v>2050</v>
      </c>
      <c r="U18" s="130"/>
      <c r="V18" s="130"/>
      <c r="W18" s="130"/>
      <c r="X18" s="130"/>
      <c r="Y18" s="130"/>
    </row>
    <row r="19" spans="1:25" ht="30" customHeight="1" thickBot="1" x14ac:dyDescent="0.3">
      <c r="A19" s="984" t="s">
        <v>1795</v>
      </c>
      <c r="B19" s="985"/>
      <c r="C19" s="985"/>
      <c r="D19" s="985"/>
      <c r="E19" s="985"/>
      <c r="F19" s="986"/>
      <c r="M19" s="1441" t="s">
        <v>2029</v>
      </c>
      <c r="N19" s="1441"/>
      <c r="O19" s="48" t="b">
        <f t="array" aca="1" ref="O19" ca="1">IF(AND('Table 5-D| MPTE Thresholds'!F25="No",'Table 5-D| MPTE Thresholds'!F26="No"),FALSE,IF(OR(S24=TRUE,OR(S15:S22=TRUE)),FALSE,TRUE))</f>
        <v>0</v>
      </c>
      <c r="Q19" s="125"/>
      <c r="R19" s="544" t="s">
        <v>2023</v>
      </c>
      <c r="S19" s="126" t="b">
        <f ca="1">IF(AND($S$4=TRUE,$M$5=TRUE,$O$5=TRUE, $N$6=TRUE,$O$6=TRUE),TRUE,FALSE)</f>
        <v>0</v>
      </c>
      <c r="T19" s="544" t="s">
        <v>2057</v>
      </c>
      <c r="U19" s="130"/>
      <c r="V19" s="130"/>
      <c r="W19" s="130"/>
      <c r="X19" s="130"/>
      <c r="Y19" s="130"/>
    </row>
    <row r="20" spans="1:25" ht="45" customHeight="1" x14ac:dyDescent="0.25">
      <c r="A20" s="1419" t="str">
        <f ca="1">IF($O$19=TRUE,"The potential emissions of HAPs from your source exceed the 'major source' thresholds, meaning your source could be subject to MACT requirements.  Please answer the following question.","Not applicable.")</f>
        <v>Not applicable.</v>
      </c>
      <c r="B20" s="1420"/>
      <c r="C20" s="1420"/>
      <c r="D20" s="1420"/>
      <c r="E20" s="1420"/>
      <c r="F20" s="1421"/>
      <c r="G20" s="124"/>
      <c r="M20" s="81"/>
      <c r="N20" s="81"/>
      <c r="Q20" s="80"/>
      <c r="R20" s="544" t="s">
        <v>2024</v>
      </c>
      <c r="S20" s="126" t="b">
        <f ca="1">IF(AND($S$4=TRUE,$O$5=TRUE,$O$6=TRUE,$M$6=TRUE),TRUE,FALSE)</f>
        <v>0</v>
      </c>
      <c r="T20" s="544" t="s">
        <v>2041</v>
      </c>
      <c r="U20" s="544" t="s">
        <v>2064</v>
      </c>
      <c r="V20" s="130"/>
      <c r="W20" s="130"/>
      <c r="X20" s="130"/>
      <c r="Y20" s="130"/>
    </row>
    <row r="21" spans="1:25" ht="45" customHeight="1" x14ac:dyDescent="0.25">
      <c r="A21" s="1105" t="str">
        <f>IF($M$17=FALSE,"",IF(M16=TRUE,"",IF($P$4=TRUE,"Do you wish to take enforceable permit requirements to limit emissions to levels that are lower than HAP major source thresholds?","")))</f>
        <v/>
      </c>
      <c r="B21" s="1438"/>
      <c r="C21" s="1438"/>
      <c r="D21" s="1106"/>
      <c r="E21" s="385" t="s">
        <v>1757</v>
      </c>
      <c r="F21" s="386" t="s">
        <v>1756</v>
      </c>
      <c r="G21" s="124" t="str">
        <f>IF(AND(M21=TRUE,N21=TRUE),"Too many boxes checked.","")</f>
        <v/>
      </c>
      <c r="M21" s="475" t="b">
        <v>0</v>
      </c>
      <c r="N21" s="475" t="b">
        <v>0</v>
      </c>
      <c r="O21" s="48" t="b">
        <f>IF(OR(AND(M21=TRUE,N21=TRUE),AND(M21=FALSE,N21=FALSE)),FALSE,TRUE)</f>
        <v>0</v>
      </c>
      <c r="Q21" s="80"/>
      <c r="R21" s="544" t="s">
        <v>2025</v>
      </c>
      <c r="S21" s="126" t="b">
        <f ca="1">IF(AND($S$5=TRUE,$N$5=TRUE,$O$5=TRUE),TRUE,FALSE)</f>
        <v>0</v>
      </c>
      <c r="T21" s="544" t="s">
        <v>2058</v>
      </c>
    </row>
    <row r="22" spans="1:25" ht="30" customHeight="1" x14ac:dyDescent="0.25">
      <c r="A22" s="1055"/>
      <c r="B22" s="1428"/>
      <c r="C22" s="1428"/>
      <c r="D22" s="1428"/>
      <c r="E22" s="1428"/>
      <c r="F22" s="1429"/>
      <c r="M22" s="453"/>
      <c r="N22" s="49"/>
      <c r="O22" s="125"/>
      <c r="R22" s="544" t="s">
        <v>2026</v>
      </c>
      <c r="S22" s="126" t="b">
        <f ca="1">IF(AND($S$5=TRUE,$M$5=TRUE,$O$5=TRUE),TRUE,FALSE)</f>
        <v>0</v>
      </c>
      <c r="T22" s="544" t="s">
        <v>2056</v>
      </c>
    </row>
    <row r="23" spans="1:25" ht="35.1" customHeight="1" thickBot="1" x14ac:dyDescent="0.3">
      <c r="A23" s="1439"/>
      <c r="B23" s="1440"/>
      <c r="C23" s="1440"/>
      <c r="D23" s="1440"/>
      <c r="E23" s="1440"/>
      <c r="F23" s="1089"/>
      <c r="M23" s="125"/>
      <c r="N23" s="125"/>
      <c r="O23" s="125"/>
      <c r="Q23" s="125"/>
      <c r="R23" s="544" t="s">
        <v>1794</v>
      </c>
      <c r="S23" s="126" t="b">
        <f ca="1">IF(AND($S$10=TRUE,$N$16=TRUE,$O$16=TRUE),TRUE,FALSE)</f>
        <v>0</v>
      </c>
      <c r="T23" s="544" t="s">
        <v>2055</v>
      </c>
    </row>
    <row r="24" spans="1:25" ht="30" customHeight="1" thickBot="1" x14ac:dyDescent="0.3">
      <c r="A24" s="984" t="s">
        <v>1796</v>
      </c>
      <c r="B24" s="985"/>
      <c r="C24" s="985"/>
      <c r="D24" s="985"/>
      <c r="E24" s="985"/>
      <c r="F24" s="986"/>
      <c r="M24" s="125"/>
      <c r="N24" s="125"/>
      <c r="O24" s="125"/>
      <c r="Q24" s="125"/>
      <c r="R24" s="544" t="s">
        <v>1793</v>
      </c>
      <c r="S24" s="126" t="b">
        <f ca="1">IF(AND($S$10=TRUE,$M$16=TRUE,$O$16=TRUE),TRUE,FALSE)</f>
        <v>0</v>
      </c>
      <c r="T24" s="544" t="s">
        <v>2054</v>
      </c>
    </row>
    <row r="25" spans="1:25" ht="39.950000000000003" customHeight="1" x14ac:dyDescent="0.25">
      <c r="A25" s="1435" t="str">
        <f ca="1">IF(OR(S6=TRUE,S11=TRUE),"","All sources that are required to hold a Construction Permit and/or an Operating Permit are required to pay an annual emission fee based on actual pollutant emissions.")</f>
        <v>All sources that are required to hold a Construction Permit and/or an Operating Permit are required to pay an annual emission fee based on actual pollutant emissions.</v>
      </c>
      <c r="B25" s="1436"/>
      <c r="C25" s="1436"/>
      <c r="D25" s="1436"/>
      <c r="E25" s="1436"/>
      <c r="F25" s="1437"/>
      <c r="G25" s="124"/>
      <c r="Q25" s="80"/>
    </row>
    <row r="26" spans="1:25" ht="45" customHeight="1" x14ac:dyDescent="0.25">
      <c r="A26" s="1056" t="str">
        <f ca="1">IF(OR(S6=TRUE,S11=TRUE),"","You may agree to control requirements in order to reduce actual emissions of pollutants to the atmosphere, thereby reducing your source's annual emission fees.  Check the following, as applicable.")</f>
        <v>You may agree to control requirements in order to reduce actual emissions of pollutants to the atmosphere, thereby reducing your source's annual emission fees.  Check the following, as applicable.</v>
      </c>
      <c r="B26" s="1433"/>
      <c r="C26" s="1433"/>
      <c r="D26" s="1433"/>
      <c r="E26" s="1433"/>
      <c r="F26" s="1434"/>
      <c r="M26" s="127"/>
      <c r="N26" s="49"/>
      <c r="O26" s="125"/>
      <c r="Q26" s="125"/>
    </row>
    <row r="27" spans="1:25" ht="45" customHeight="1" x14ac:dyDescent="0.25">
      <c r="A27" s="1105" t="str">
        <f ca="1">IF(OR(S6=TRUE,S11=TRUE),"","Do you agree to accept control requirements to reduce actual pollutant emissions?")</f>
        <v>Do you agree to accept control requirements to reduce actual pollutant emissions?</v>
      </c>
      <c r="B27" s="1438"/>
      <c r="C27" s="1438"/>
      <c r="D27" s="1106"/>
      <c r="E27" s="387" t="s">
        <v>1757</v>
      </c>
      <c r="F27" s="388" t="s">
        <v>1756</v>
      </c>
      <c r="G27" s="124" t="str">
        <f>IF(AND(M27=TRUE,N27=TRUE),"Too many boxes checked.","")</f>
        <v/>
      </c>
      <c r="M27" s="456" t="b">
        <v>0</v>
      </c>
      <c r="N27" s="456" t="b">
        <v>0</v>
      </c>
      <c r="O27" s="48" t="b">
        <f>IF(OR(AND(M27=TRUE,N27=FALSE),AND(M27=FALSE,N27=TRUE)),TRUE,FALSE)</f>
        <v>0</v>
      </c>
      <c r="Q27" s="125"/>
    </row>
    <row r="28" spans="1:25" ht="35.1" customHeight="1" x14ac:dyDescent="0.25">
      <c r="A28" s="1056" t="str">
        <f ca="1">IF(OR(AND(S6=TRUE,S11=TRUE),O27=FALSE),"",IF(M27=TRUE,"Complete Table 6-A by indicating which emission units will AND will not be equipped with emission controls.","If you did not accept ANY emission controls, then complete Table 6-A by indicating that no emission controls will be utilized."))</f>
        <v/>
      </c>
      <c r="B28" s="1433"/>
      <c r="C28" s="1433"/>
      <c r="D28" s="1433"/>
      <c r="E28" s="1433"/>
      <c r="F28" s="1434"/>
    </row>
    <row r="29" spans="1:25" ht="35.1" customHeight="1" thickBot="1" x14ac:dyDescent="0.3">
      <c r="A29" s="1430" t="str">
        <f ca="1">IF(OR(AND(S6=TRUE,S11=TRUE),O27=FALSE),"",IF(M27=TRUE,"Also complete Table 6-B by indicating which emission units will AND will not be subject to emission limits, as indicated in Parts B, C, and D above (as applicable).","If you did not agree to accept ANY throughput or emission limits in Parts B, C, and D above, complete Tables 6-A and 6-B by indicating that no throughput limits or emission limits will be accepted."))</f>
        <v/>
      </c>
      <c r="B29" s="1431"/>
      <c r="C29" s="1431"/>
      <c r="D29" s="1431"/>
      <c r="E29" s="1431"/>
      <c r="F29" s="1432"/>
    </row>
    <row r="30" spans="1:25" ht="20.100000000000001" customHeight="1" x14ac:dyDescent="0.25">
      <c r="A30" s="839"/>
      <c r="B30" s="840"/>
      <c r="C30" s="840"/>
      <c r="D30" s="840"/>
      <c r="E30" s="840"/>
      <c r="F30" s="841" t="str">
        <f>"Ver."&amp;" "&amp;TEXT(Introduction!$M$3,"MM/YYYY")</f>
        <v>Ver. 01/2025</v>
      </c>
    </row>
    <row r="31" spans="1:25" ht="20.100000000000001" customHeight="1" x14ac:dyDescent="0.25">
      <c r="A31" s="50"/>
    </row>
    <row r="32" spans="1:25"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ApdXk19ge8QW/JM76tzIdWE+TK4Wdo1y8DI5MkzF1bXhLgW+6ZAFWrHpRh9R3WglXyWwTKsGP32U5EpJ21Q+pA==" saltValue="VI4q6hJf0bBOQm/FFy301g==" spinCount="100000" sheet="1" objects="1" scenarios="1"/>
  <mergeCells count="34">
    <mergeCell ref="A1:F1"/>
    <mergeCell ref="A2:F2"/>
    <mergeCell ref="A9:F9"/>
    <mergeCell ref="A10:F10"/>
    <mergeCell ref="A3:F3"/>
    <mergeCell ref="A5:D5"/>
    <mergeCell ref="A6:D6"/>
    <mergeCell ref="A4:F4"/>
    <mergeCell ref="A7:F8"/>
    <mergeCell ref="A23:F23"/>
    <mergeCell ref="A14:F14"/>
    <mergeCell ref="A13:F13"/>
    <mergeCell ref="A15:F15"/>
    <mergeCell ref="M19:N19"/>
    <mergeCell ref="G17:G18"/>
    <mergeCell ref="A16:D16"/>
    <mergeCell ref="A18:F18"/>
    <mergeCell ref="A21:D21"/>
    <mergeCell ref="A22:F22"/>
    <mergeCell ref="A29:F29"/>
    <mergeCell ref="A28:F28"/>
    <mergeCell ref="A24:F24"/>
    <mergeCell ref="A25:F25"/>
    <mergeCell ref="A26:F26"/>
    <mergeCell ref="A27:D27"/>
    <mergeCell ref="R12:T12"/>
    <mergeCell ref="R2:W2"/>
    <mergeCell ref="A19:F19"/>
    <mergeCell ref="A20:F20"/>
    <mergeCell ref="R3:T3"/>
    <mergeCell ref="R7:T7"/>
    <mergeCell ref="B12:F12"/>
    <mergeCell ref="B11:F11"/>
    <mergeCell ref="A17:F17"/>
  </mergeCells>
  <conditionalFormatting sqref="A11:A12">
    <cfRule type="expression" dxfId="110" priority="1">
      <formula>AND(NOT($A$10="Not applicable."),$O$11=FALSE)</formula>
    </cfRule>
  </conditionalFormatting>
  <conditionalFormatting sqref="A11:B12 A5:F6 A10:F10 A13:F13 A15:F18 A20:F23 A25:F29">
    <cfRule type="expression" dxfId="109" priority="2" stopIfTrue="1">
      <formula>OR($S$6=TRUE,$S$11=TRUE)</formula>
    </cfRule>
  </conditionalFormatting>
  <conditionalFormatting sqref="A16:F18">
    <cfRule type="expression" dxfId="108" priority="3">
      <formula>$S$10=FALSE</formula>
    </cfRule>
  </conditionalFormatting>
  <conditionalFormatting sqref="A21:F23">
    <cfRule type="expression" dxfId="107" priority="6">
      <formula>$O$19=FALSE</formula>
    </cfRule>
  </conditionalFormatting>
  <conditionalFormatting sqref="E5:F5">
    <cfRule type="expression" dxfId="106" priority="10">
      <formula>$O$5=FALSE</formula>
    </cfRule>
  </conditionalFormatting>
  <conditionalFormatting sqref="E6:F6">
    <cfRule type="expression" dxfId="105" priority="7">
      <formula>AND(NOT($A$6=""),$O$6=FALSE)</formula>
    </cfRule>
  </conditionalFormatting>
  <conditionalFormatting sqref="E16:F16">
    <cfRule type="expression" dxfId="104" priority="8">
      <formula>AND($S$10=TRUE,$O$16=FALSE)</formula>
    </cfRule>
  </conditionalFormatting>
  <conditionalFormatting sqref="E27:F27">
    <cfRule type="expression" dxfId="103" priority="11">
      <formula>$O$27=FALSE</formula>
    </cfRule>
  </conditionalFormatting>
  <conditionalFormatting sqref="G5:G6">
    <cfRule type="expression" dxfId="102" priority="12">
      <formula>AND(M5=TRUE,N5=TRUE)</formula>
    </cfRule>
  </conditionalFormatting>
  <conditionalFormatting sqref="G11">
    <cfRule type="expression" dxfId="101" priority="14">
      <formula>AND(M11=TRUE,N11=TRUE)</formula>
    </cfRule>
  </conditionalFormatting>
  <conditionalFormatting sqref="G16">
    <cfRule type="expression" dxfId="100" priority="15">
      <formula>AND(M16=TRUE,N16=TRUE)</formula>
    </cfRule>
  </conditionalFormatting>
  <conditionalFormatting sqref="G17:G18">
    <cfRule type="expression" dxfId="99" priority="712">
      <formula>NOT($G$17="")</formula>
    </cfRule>
  </conditionalFormatting>
  <conditionalFormatting sqref="G21">
    <cfRule type="expression" dxfId="98" priority="715">
      <formula>AND(M21=TRUE,N21=TRUE)</formula>
    </cfRule>
  </conditionalFormatting>
  <conditionalFormatting sqref="G27">
    <cfRule type="expression" dxfId="97" priority="716">
      <formula>AND(M27=TRUE,N27=TRUE)</formula>
    </cfRule>
  </conditionalFormatting>
  <printOptions horizontalCentered="1"/>
  <pageMargins left="0.5" right="0.5" top="0.5" bottom="0.5" header="0.3" footer="0.3"/>
  <pageSetup scale="87" fitToHeight="0" orientation="portrait" r:id="rId1"/>
  <headerFooter>
    <oddFooter>&amp;L&amp;A&amp;RPage &amp;P</oddFooter>
  </headerFooter>
  <rowBreaks count="1" manualBreakCount="1">
    <brk id="18"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0</xdr:col>
                    <xdr:colOff>981075</xdr:colOff>
                    <xdr:row>10</xdr:row>
                    <xdr:rowOff>57150</xdr:rowOff>
                  </from>
                  <to>
                    <xdr:col>5</xdr:col>
                    <xdr:colOff>895350</xdr:colOff>
                    <xdr:row>10</xdr:row>
                    <xdr:rowOff>514350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0</xdr:col>
                    <xdr:colOff>981075</xdr:colOff>
                    <xdr:row>11</xdr:row>
                    <xdr:rowOff>66675</xdr:rowOff>
                  </from>
                  <to>
                    <xdr:col>5</xdr:col>
                    <xdr:colOff>895350</xdr:colOff>
                    <xdr:row>11</xdr:row>
                    <xdr:rowOff>523875</xdr:rowOff>
                  </to>
                </anchor>
              </controlPr>
            </control>
          </mc:Choice>
        </mc:AlternateContent>
        <mc:AlternateContent xmlns:mc="http://schemas.openxmlformats.org/markup-compatibility/2006">
          <mc:Choice Requires="x14">
            <control shapeId="52269" r:id="rId6" name="Check Box 45">
              <controlPr defaultSize="0" autoFill="0" autoLine="0" autoPict="0">
                <anchor moveWithCells="1">
                  <from>
                    <xdr:col>4</xdr:col>
                    <xdr:colOff>9525</xdr:colOff>
                    <xdr:row>26</xdr:row>
                    <xdr:rowOff>142875</xdr:rowOff>
                  </from>
                  <to>
                    <xdr:col>4</xdr:col>
                    <xdr:colOff>609600</xdr:colOff>
                    <xdr:row>26</xdr:row>
                    <xdr:rowOff>466725</xdr:rowOff>
                  </to>
                </anchor>
              </controlPr>
            </control>
          </mc:Choice>
        </mc:AlternateContent>
        <mc:AlternateContent xmlns:mc="http://schemas.openxmlformats.org/markup-compatibility/2006">
          <mc:Choice Requires="x14">
            <control shapeId="52270" r:id="rId7" name="Check Box 46">
              <controlPr defaultSize="0" autoFill="0" autoLine="0" autoPict="0">
                <anchor moveWithCells="1">
                  <from>
                    <xdr:col>5</xdr:col>
                    <xdr:colOff>9525</xdr:colOff>
                    <xdr:row>26</xdr:row>
                    <xdr:rowOff>142875</xdr:rowOff>
                  </from>
                  <to>
                    <xdr:col>5</xdr:col>
                    <xdr:colOff>609600</xdr:colOff>
                    <xdr:row>26</xdr:row>
                    <xdr:rowOff>466725</xdr:rowOff>
                  </to>
                </anchor>
              </controlPr>
            </control>
          </mc:Choice>
        </mc:AlternateContent>
        <mc:AlternateContent xmlns:mc="http://schemas.openxmlformats.org/markup-compatibility/2006">
          <mc:Choice Requires="x14">
            <control shapeId="52273" r:id="rId8" name="Check Box 49">
              <controlPr defaultSize="0" autoFill="0" autoLine="0" autoPict="0">
                <anchor moveWithCells="1">
                  <from>
                    <xdr:col>4</xdr:col>
                    <xdr:colOff>9525</xdr:colOff>
                    <xdr:row>4</xdr:row>
                    <xdr:rowOff>161925</xdr:rowOff>
                  </from>
                  <to>
                    <xdr:col>4</xdr:col>
                    <xdr:colOff>609600</xdr:colOff>
                    <xdr:row>4</xdr:row>
                    <xdr:rowOff>485775</xdr:rowOff>
                  </to>
                </anchor>
              </controlPr>
            </control>
          </mc:Choice>
        </mc:AlternateContent>
        <mc:AlternateContent xmlns:mc="http://schemas.openxmlformats.org/markup-compatibility/2006">
          <mc:Choice Requires="x14">
            <control shapeId="52274" r:id="rId9" name="Check Box 50">
              <controlPr defaultSize="0" autoFill="0" autoLine="0" autoPict="0">
                <anchor moveWithCells="1">
                  <from>
                    <xdr:col>5</xdr:col>
                    <xdr:colOff>9525</xdr:colOff>
                    <xdr:row>4</xdr:row>
                    <xdr:rowOff>161925</xdr:rowOff>
                  </from>
                  <to>
                    <xdr:col>5</xdr:col>
                    <xdr:colOff>609600</xdr:colOff>
                    <xdr:row>4</xdr:row>
                    <xdr:rowOff>485775</xdr:rowOff>
                  </to>
                </anchor>
              </controlPr>
            </control>
          </mc:Choice>
        </mc:AlternateContent>
        <mc:AlternateContent xmlns:mc="http://schemas.openxmlformats.org/markup-compatibility/2006">
          <mc:Choice Requires="x14">
            <control shapeId="52276" r:id="rId10" name="Check Box 52">
              <controlPr defaultSize="0" autoFill="0" autoLine="0" autoPict="0">
                <anchor moveWithCells="1">
                  <from>
                    <xdr:col>4</xdr:col>
                    <xdr:colOff>9525</xdr:colOff>
                    <xdr:row>5</xdr:row>
                    <xdr:rowOff>171450</xdr:rowOff>
                  </from>
                  <to>
                    <xdr:col>4</xdr:col>
                    <xdr:colOff>609600</xdr:colOff>
                    <xdr:row>5</xdr:row>
                    <xdr:rowOff>495300</xdr:rowOff>
                  </to>
                </anchor>
              </controlPr>
            </control>
          </mc:Choice>
        </mc:AlternateContent>
        <mc:AlternateContent xmlns:mc="http://schemas.openxmlformats.org/markup-compatibility/2006">
          <mc:Choice Requires="x14">
            <control shapeId="52277" r:id="rId11" name="Check Box 53">
              <controlPr defaultSize="0" autoFill="0" autoLine="0" autoPict="0">
                <anchor moveWithCells="1">
                  <from>
                    <xdr:col>5</xdr:col>
                    <xdr:colOff>9525</xdr:colOff>
                    <xdr:row>5</xdr:row>
                    <xdr:rowOff>171450</xdr:rowOff>
                  </from>
                  <to>
                    <xdr:col>5</xdr:col>
                    <xdr:colOff>609600</xdr:colOff>
                    <xdr:row>5</xdr:row>
                    <xdr:rowOff>495300</xdr:rowOff>
                  </to>
                </anchor>
              </controlPr>
            </control>
          </mc:Choice>
        </mc:AlternateContent>
        <mc:AlternateContent xmlns:mc="http://schemas.openxmlformats.org/markup-compatibility/2006">
          <mc:Choice Requires="x14">
            <control shapeId="52280" r:id="rId12" name="Check Box 56">
              <controlPr defaultSize="0" autoFill="0" autoLine="0" autoPict="0">
                <anchor moveWithCells="1">
                  <from>
                    <xdr:col>4</xdr:col>
                    <xdr:colOff>9525</xdr:colOff>
                    <xdr:row>15</xdr:row>
                    <xdr:rowOff>171450</xdr:rowOff>
                  </from>
                  <to>
                    <xdr:col>4</xdr:col>
                    <xdr:colOff>609600</xdr:colOff>
                    <xdr:row>15</xdr:row>
                    <xdr:rowOff>495300</xdr:rowOff>
                  </to>
                </anchor>
              </controlPr>
            </control>
          </mc:Choice>
        </mc:AlternateContent>
        <mc:AlternateContent xmlns:mc="http://schemas.openxmlformats.org/markup-compatibility/2006">
          <mc:Choice Requires="x14">
            <control shapeId="52281" r:id="rId13" name="Check Box 57">
              <controlPr defaultSize="0" autoFill="0" autoLine="0" autoPict="0">
                <anchor moveWithCells="1">
                  <from>
                    <xdr:col>5</xdr:col>
                    <xdr:colOff>9525</xdr:colOff>
                    <xdr:row>15</xdr:row>
                    <xdr:rowOff>171450</xdr:rowOff>
                  </from>
                  <to>
                    <xdr:col>5</xdr:col>
                    <xdr:colOff>609600</xdr:colOff>
                    <xdr:row>15</xdr:row>
                    <xdr:rowOff>495300</xdr:rowOff>
                  </to>
                </anchor>
              </controlPr>
            </control>
          </mc:Choice>
        </mc:AlternateContent>
        <mc:AlternateContent xmlns:mc="http://schemas.openxmlformats.org/markup-compatibility/2006">
          <mc:Choice Requires="x14">
            <control shapeId="52282" r:id="rId14" name="Check Box 58">
              <controlPr defaultSize="0" autoFill="0" autoLine="0" autoPict="0">
                <anchor moveWithCells="1">
                  <from>
                    <xdr:col>4</xdr:col>
                    <xdr:colOff>9525</xdr:colOff>
                    <xdr:row>20</xdr:row>
                    <xdr:rowOff>133350</xdr:rowOff>
                  </from>
                  <to>
                    <xdr:col>4</xdr:col>
                    <xdr:colOff>609600</xdr:colOff>
                    <xdr:row>20</xdr:row>
                    <xdr:rowOff>457200</xdr:rowOff>
                  </to>
                </anchor>
              </controlPr>
            </control>
          </mc:Choice>
        </mc:AlternateContent>
        <mc:AlternateContent xmlns:mc="http://schemas.openxmlformats.org/markup-compatibility/2006">
          <mc:Choice Requires="x14">
            <control shapeId="52283" r:id="rId15" name="Check Box 59">
              <controlPr defaultSize="0" autoFill="0" autoLine="0" autoPict="0">
                <anchor moveWithCells="1">
                  <from>
                    <xdr:col>5</xdr:col>
                    <xdr:colOff>9525</xdr:colOff>
                    <xdr:row>20</xdr:row>
                    <xdr:rowOff>133350</xdr:rowOff>
                  </from>
                  <to>
                    <xdr:col>5</xdr:col>
                    <xdr:colOff>609600</xdr:colOff>
                    <xdr:row>20</xdr:row>
                    <xdr:rowOff>457200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002060"/>
    <pageSetUpPr fitToPage="1"/>
  </sheetPr>
  <dimension ref="A1:W113"/>
  <sheetViews>
    <sheetView showGridLines="0" zoomScaleNormal="100" workbookViewId="0">
      <selection sqref="A1:J1"/>
    </sheetView>
  </sheetViews>
  <sheetFormatPr defaultRowHeight="14.25" x14ac:dyDescent="0.25"/>
  <cols>
    <col min="1" max="1" width="10.28515625" style="131" customWidth="1"/>
    <col min="2" max="2" width="17.28515625" style="48" customWidth="1"/>
    <col min="3" max="3" width="12.7109375" style="48" customWidth="1"/>
    <col min="4" max="6" width="13.7109375" style="48" customWidth="1"/>
    <col min="7" max="7" width="12.7109375" style="48" customWidth="1"/>
    <col min="8" max="8" width="25.7109375" style="48" customWidth="1"/>
    <col min="9" max="9" width="27.7109375" style="48" customWidth="1"/>
    <col min="10" max="10" width="25.7109375" style="48" customWidth="1"/>
    <col min="11" max="11" width="6.28515625" style="651" customWidth="1"/>
    <col min="12" max="12" width="37" style="48" customWidth="1"/>
    <col min="13" max="20" width="9.140625" style="48"/>
    <col min="21" max="21" width="10.140625" style="48" customWidth="1"/>
    <col min="22" max="22" width="31.42578125" style="48" customWidth="1"/>
    <col min="23" max="23" width="15.7109375" style="48" customWidth="1"/>
    <col min="24" max="16384" width="9.140625" style="48"/>
  </cols>
  <sheetData>
    <row r="1" spans="1:14" s="69" customFormat="1" ht="26.25" customHeight="1" thickBot="1" x14ac:dyDescent="0.3">
      <c r="A1" s="1255" t="s">
        <v>1674</v>
      </c>
      <c r="B1" s="1255"/>
      <c r="C1" s="1255"/>
      <c r="D1" s="1255"/>
      <c r="E1" s="1255"/>
      <c r="F1" s="1255"/>
      <c r="G1" s="1255"/>
      <c r="H1" s="1255"/>
      <c r="I1" s="1255"/>
      <c r="J1" s="1255"/>
      <c r="K1" s="646"/>
    </row>
    <row r="2" spans="1:14" s="160" customFormat="1" ht="35.1" customHeight="1" x14ac:dyDescent="0.25">
      <c r="A2" s="1310" t="s">
        <v>2345</v>
      </c>
      <c r="B2" s="1310"/>
      <c r="C2" s="1310"/>
      <c r="D2" s="1310"/>
      <c r="E2" s="1310"/>
      <c r="F2" s="1310"/>
      <c r="G2" s="1310"/>
      <c r="H2" s="1310"/>
      <c r="I2" s="1310"/>
      <c r="J2" s="1310"/>
      <c r="K2" s="647"/>
      <c r="L2" s="163"/>
      <c r="M2" s="163"/>
      <c r="N2" s="163"/>
    </row>
    <row r="3" spans="1:14" s="160" customFormat="1" ht="35.1" customHeight="1" x14ac:dyDescent="0.25">
      <c r="A3" s="161">
        <v>1</v>
      </c>
      <c r="B3" s="1311" t="s">
        <v>1583</v>
      </c>
      <c r="C3" s="1311"/>
      <c r="D3" s="1311"/>
      <c r="E3" s="1311"/>
      <c r="F3" s="1311"/>
      <c r="G3" s="1311"/>
      <c r="H3" s="1311"/>
      <c r="I3" s="1311"/>
      <c r="J3" s="1311"/>
      <c r="K3" s="164"/>
      <c r="L3" s="164"/>
      <c r="M3" s="164"/>
      <c r="N3" s="164"/>
    </row>
    <row r="4" spans="1:14" s="160" customFormat="1" ht="35.1" customHeight="1" x14ac:dyDescent="0.25">
      <c r="A4" s="161">
        <v>2</v>
      </c>
      <c r="B4" s="1311" t="s">
        <v>2151</v>
      </c>
      <c r="C4" s="1311"/>
      <c r="D4" s="1311"/>
      <c r="E4" s="1311"/>
      <c r="F4" s="1311"/>
      <c r="G4" s="1311"/>
      <c r="H4" s="1311"/>
      <c r="I4" s="1311"/>
      <c r="J4" s="1311"/>
      <c r="K4" s="648"/>
    </row>
    <row r="5" spans="1:14" s="160" customFormat="1" ht="35.1" customHeight="1" x14ac:dyDescent="0.25">
      <c r="A5" s="161">
        <v>3</v>
      </c>
      <c r="B5" s="1311" t="s">
        <v>1581</v>
      </c>
      <c r="C5" s="1311"/>
      <c r="D5" s="1311"/>
      <c r="E5" s="1311"/>
      <c r="F5" s="1311"/>
      <c r="G5" s="1311"/>
      <c r="H5" s="1311"/>
      <c r="I5" s="1311"/>
      <c r="J5" s="1311"/>
      <c r="K5" s="648"/>
    </row>
    <row r="6" spans="1:14" s="160" customFormat="1" ht="50.1" customHeight="1" x14ac:dyDescent="0.25">
      <c r="A6" s="161">
        <v>4</v>
      </c>
      <c r="B6" s="1311" t="s">
        <v>1582</v>
      </c>
      <c r="C6" s="1311"/>
      <c r="D6" s="1311"/>
      <c r="E6" s="1311"/>
      <c r="F6" s="1311"/>
      <c r="G6" s="1311"/>
      <c r="H6" s="1311"/>
      <c r="I6" s="1311"/>
      <c r="J6" s="1311"/>
      <c r="K6" s="648"/>
    </row>
    <row r="7" spans="1:14" s="160" customFormat="1" ht="35.1" customHeight="1" x14ac:dyDescent="0.25">
      <c r="A7" s="161">
        <v>5</v>
      </c>
      <c r="B7" s="1311" t="s">
        <v>1769</v>
      </c>
      <c r="C7" s="1311"/>
      <c r="D7" s="1311"/>
      <c r="E7" s="1311"/>
      <c r="F7" s="1311"/>
      <c r="G7" s="1311"/>
      <c r="H7" s="1311"/>
      <c r="I7" s="1311"/>
      <c r="J7" s="1311"/>
      <c r="K7" s="648"/>
    </row>
    <row r="8" spans="1:14" s="160" customFormat="1" ht="50.1" customHeight="1" x14ac:dyDescent="0.25">
      <c r="A8" s="161">
        <v>6</v>
      </c>
      <c r="B8" s="1311" t="s">
        <v>1584</v>
      </c>
      <c r="C8" s="1311"/>
      <c r="D8" s="1311"/>
      <c r="E8" s="1311"/>
      <c r="F8" s="1311"/>
      <c r="G8" s="1311"/>
      <c r="H8" s="1311"/>
      <c r="I8" s="1311"/>
      <c r="J8" s="1311"/>
      <c r="K8" s="648"/>
    </row>
    <row r="9" spans="1:14" s="160" customFormat="1" ht="35.1" customHeight="1" x14ac:dyDescent="0.25">
      <c r="A9" s="161">
        <v>7</v>
      </c>
      <c r="B9" s="1311" t="s">
        <v>1585</v>
      </c>
      <c r="C9" s="1311"/>
      <c r="D9" s="1311"/>
      <c r="E9" s="1311"/>
      <c r="F9" s="1311"/>
      <c r="G9" s="1311"/>
      <c r="H9" s="1311"/>
      <c r="I9" s="1311"/>
      <c r="J9" s="1311"/>
      <c r="K9" s="648"/>
    </row>
    <row r="10" spans="1:14" s="160" customFormat="1" ht="35.1" customHeight="1" x14ac:dyDescent="0.25">
      <c r="A10" s="161">
        <v>8</v>
      </c>
      <c r="B10" s="1311" t="s">
        <v>1586</v>
      </c>
      <c r="C10" s="1311"/>
      <c r="D10" s="1311"/>
      <c r="E10" s="1311"/>
      <c r="F10" s="1311"/>
      <c r="G10" s="1311"/>
      <c r="H10" s="1311"/>
      <c r="I10" s="1311"/>
      <c r="J10" s="1311"/>
      <c r="K10" s="648"/>
    </row>
    <row r="11" spans="1:14" s="160" customFormat="1" ht="35.1" customHeight="1" x14ac:dyDescent="0.25">
      <c r="A11" s="161"/>
      <c r="B11" s="1449" t="s">
        <v>2145</v>
      </c>
      <c r="C11" s="1449"/>
      <c r="D11" s="1449"/>
      <c r="E11" s="1449"/>
      <c r="F11" s="1449"/>
      <c r="G11" s="1449"/>
      <c r="H11" s="1449"/>
      <c r="I11" s="1449"/>
      <c r="J11" s="1449"/>
      <c r="K11" s="648"/>
    </row>
    <row r="12" spans="1:14" s="68" customFormat="1" ht="12.95" customHeight="1" x14ac:dyDescent="0.25">
      <c r="A12" s="121"/>
      <c r="B12" s="129"/>
      <c r="C12" s="129"/>
      <c r="D12" s="129"/>
      <c r="E12" s="129"/>
      <c r="F12" s="129"/>
      <c r="G12" s="129"/>
      <c r="H12" s="129"/>
      <c r="I12" s="129"/>
      <c r="J12" s="129"/>
      <c r="K12" s="649"/>
    </row>
    <row r="13" spans="1:14" s="68" customFormat="1" ht="12.95" customHeight="1" thickBot="1" x14ac:dyDescent="0.3">
      <c r="A13" s="1277"/>
      <c r="B13" s="1277"/>
      <c r="C13" s="1277"/>
      <c r="D13" s="1277"/>
      <c r="E13" s="1277"/>
      <c r="F13" s="1277"/>
      <c r="G13" s="1277"/>
      <c r="H13" s="1277"/>
      <c r="I13" s="1277"/>
      <c r="J13" s="1277"/>
      <c r="K13" s="649"/>
    </row>
    <row r="14" spans="1:14" s="77" customFormat="1" ht="19.5" thickBot="1" x14ac:dyDescent="0.3">
      <c r="A14" s="1211" t="s">
        <v>1422</v>
      </c>
      <c r="B14" s="1211"/>
      <c r="C14" s="1211"/>
      <c r="D14" s="1211"/>
      <c r="E14" s="1211"/>
      <c r="F14" s="1211"/>
      <c r="G14" s="1211"/>
      <c r="H14" s="1211"/>
      <c r="I14" s="1211"/>
      <c r="J14" s="1211"/>
      <c r="K14" s="650"/>
    </row>
    <row r="15" spans="1:14" ht="60" customHeight="1" x14ac:dyDescent="0.25">
      <c r="A15" s="1348"/>
      <c r="B15" s="1348"/>
      <c r="C15" s="1348"/>
      <c r="D15" s="1348"/>
      <c r="E15" s="1348"/>
      <c r="F15" s="1348"/>
      <c r="G15" s="1348"/>
      <c r="H15" s="1348"/>
      <c r="I15" s="1348"/>
      <c r="J15" s="1348"/>
    </row>
    <row r="16" spans="1:14" ht="24.95" customHeight="1" thickBot="1" x14ac:dyDescent="0.3">
      <c r="A16" s="1347" t="s">
        <v>2066</v>
      </c>
      <c r="B16" s="1347"/>
      <c r="C16" s="1347"/>
      <c r="D16" s="1347"/>
      <c r="E16" s="1347"/>
      <c r="F16" s="1347"/>
      <c r="G16" s="1347"/>
      <c r="H16" s="1347"/>
      <c r="I16" s="1347"/>
      <c r="J16" s="1347"/>
    </row>
    <row r="17" spans="1:23" ht="24.95" customHeight="1" thickBot="1" x14ac:dyDescent="0.3">
      <c r="A17" s="1450" t="s">
        <v>2075</v>
      </c>
      <c r="B17" s="1451"/>
      <c r="C17" s="1451"/>
      <c r="D17" s="1451"/>
      <c r="E17" s="1451"/>
      <c r="F17" s="1451"/>
      <c r="G17" s="1451"/>
      <c r="H17" s="1451"/>
      <c r="I17" s="1451"/>
      <c r="J17" s="1452"/>
      <c r="L17" s="139"/>
    </row>
    <row r="18" spans="1:23" s="130" customFormat="1" ht="30" customHeight="1" thickBot="1" x14ac:dyDescent="0.3">
      <c r="A18" s="1453" t="s">
        <v>1538</v>
      </c>
      <c r="B18" s="1453"/>
      <c r="C18" s="1453"/>
      <c r="D18" s="1453"/>
      <c r="E18" s="1453"/>
      <c r="F18" s="1453"/>
      <c r="G18" s="1453"/>
      <c r="H18" s="1453"/>
      <c r="I18" s="1453"/>
      <c r="J18" s="843" t="str">
        <f>"Ver."&amp;" "&amp;TEXT(Introduction!$M$3,"MM/YYYY")</f>
        <v>Ver. 01/2025</v>
      </c>
      <c r="K18" s="652"/>
    </row>
    <row r="19" spans="1:23" ht="45.75" thickBot="1" x14ac:dyDescent="0.3">
      <c r="A19" s="801" t="s">
        <v>270</v>
      </c>
      <c r="B19" s="802" t="s">
        <v>271</v>
      </c>
      <c r="C19" s="802" t="s">
        <v>1551</v>
      </c>
      <c r="D19" s="802" t="s">
        <v>1553</v>
      </c>
      <c r="E19" s="802" t="s">
        <v>1552</v>
      </c>
      <c r="F19" s="802" t="s">
        <v>1555</v>
      </c>
      <c r="G19" s="802" t="s">
        <v>1556</v>
      </c>
      <c r="H19" s="802" t="s">
        <v>1571</v>
      </c>
      <c r="I19" s="802" t="s">
        <v>1569</v>
      </c>
      <c r="J19" s="802" t="s">
        <v>1570</v>
      </c>
      <c r="T19" s="48" t="s">
        <v>1554</v>
      </c>
      <c r="U19" s="48" t="s">
        <v>1557</v>
      </c>
      <c r="V19" s="135" t="s">
        <v>1560</v>
      </c>
    </row>
    <row r="20" spans="1:23" ht="18" customHeight="1" x14ac:dyDescent="0.25">
      <c r="A20" s="1446" t="str">
        <f>'Table 5-A| Primary MPTE'!A44</f>
        <v>Boiler Emission Units</v>
      </c>
      <c r="B20" s="1447"/>
      <c r="C20" s="1447"/>
      <c r="D20" s="1447"/>
      <c r="E20" s="1447"/>
      <c r="F20" s="1447"/>
      <c r="G20" s="1447"/>
      <c r="H20" s="1447"/>
      <c r="I20" s="1447"/>
      <c r="J20" s="1448"/>
      <c r="K20" s="653"/>
      <c r="T20" s="48" t="s">
        <v>75</v>
      </c>
      <c r="U20" s="48" t="s">
        <v>75</v>
      </c>
      <c r="V20" s="137" t="s">
        <v>1564</v>
      </c>
      <c r="W20" s="134"/>
    </row>
    <row r="21" spans="1:23" ht="18" customHeight="1" x14ac:dyDescent="0.25">
      <c r="A21" s="302">
        <f>'Table 5-A| Primary MPTE'!A45</f>
        <v>0</v>
      </c>
      <c r="B21" s="303">
        <f ca="1">'Table 5-A| Primary MPTE'!B45</f>
        <v>0</v>
      </c>
      <c r="C21" s="304"/>
      <c r="D21" s="305">
        <f ca="1">IFERROR('Table 5-A| Primary MPTE'!E45/VLOOKUP(B21,'Table 7-A| Primary APTE'!$AM$12:$AY$75,13,FALSE),0)</f>
        <v>0</v>
      </c>
      <c r="E21" s="304"/>
      <c r="F21" s="305">
        <f ca="1">IFERROR(VLOOKUP(B21,'Table 7-A| Primary APTE'!$AM$12:$AX$75,12,FALSE),0)</f>
        <v>0</v>
      </c>
      <c r="G21" s="304"/>
      <c r="H21" s="433"/>
      <c r="I21" s="304"/>
      <c r="J21" s="304"/>
      <c r="K21" s="654">
        <f>IFERROR(VLOOKUP(I21,'Emission Controls'!$A$3:$B$16,2,),0)</f>
        <v>0</v>
      </c>
      <c r="L21" s="78" t="str">
        <f>IF(AND(G21="No",NOT(ISBLANK(I21))),"&lt;&lt;&lt; Remove entry from Control Type!","")</f>
        <v/>
      </c>
      <c r="T21" s="48" t="s">
        <v>73</v>
      </c>
      <c r="U21" s="48" t="s">
        <v>73</v>
      </c>
      <c r="V21" s="137" t="s">
        <v>1566</v>
      </c>
      <c r="W21" s="134"/>
    </row>
    <row r="22" spans="1:23" ht="18" customHeight="1" x14ac:dyDescent="0.25">
      <c r="A22" s="302">
        <f>'Table 5-A| Primary MPTE'!A46</f>
        <v>0</v>
      </c>
      <c r="B22" s="303">
        <f ca="1">'Table 5-A| Primary MPTE'!B46</f>
        <v>0</v>
      </c>
      <c r="C22" s="304"/>
      <c r="D22" s="305">
        <f ca="1">IFERROR('Table 5-A| Primary MPTE'!E45/VLOOKUP(B22,'Table 7-A| Primary APTE'!$AM$12:$AY$75,13,FALSE),0)</f>
        <v>0</v>
      </c>
      <c r="E22" s="304"/>
      <c r="F22" s="305">
        <f ca="1">IFERROR(VLOOKUP(B22,'Table 7-A| Primary APTE'!$AM$12:$AX$75,12,FALSE),0)</f>
        <v>0</v>
      </c>
      <c r="G22" s="304"/>
      <c r="H22" s="433"/>
      <c r="I22" s="304"/>
      <c r="J22" s="304"/>
      <c r="K22" s="654">
        <f>IFERROR(VLOOKUP(I22,'Emission Controls'!$A$3:$B$16,2,),0)</f>
        <v>0</v>
      </c>
      <c r="L22" s="48" t="str">
        <f t="shared" ref="L22:L35" si="0">IF(AND(G22="No",NOT(ISBLANK(I22))),"&lt;&lt;&lt; Remove entry from Control Type!","")</f>
        <v/>
      </c>
      <c r="V22" s="132" t="s">
        <v>1574</v>
      </c>
      <c r="W22" s="134"/>
    </row>
    <row r="23" spans="1:23" ht="18" customHeight="1" thickBot="1" x14ac:dyDescent="0.3">
      <c r="A23" s="309">
        <f>'Table 5-A| Primary MPTE'!A47</f>
        <v>0</v>
      </c>
      <c r="B23" s="310">
        <f ca="1">'Table 5-A| Primary MPTE'!B47</f>
        <v>0</v>
      </c>
      <c r="C23" s="311"/>
      <c r="D23" s="312">
        <f ca="1">IFERROR('Table 5-A| Primary MPTE'!E45/VLOOKUP(B23,'Table 7-A| Primary APTE'!$AM$12:$AY$75,13,FALSE),0)</f>
        <v>0</v>
      </c>
      <c r="E23" s="311"/>
      <c r="F23" s="312">
        <f ca="1">IFERROR(VLOOKUP(B23,'Table 7-A| Primary APTE'!$AM$12:$AX$75,12,FALSE),0)</f>
        <v>0</v>
      </c>
      <c r="G23" s="311"/>
      <c r="H23" s="434"/>
      <c r="I23" s="311"/>
      <c r="J23" s="311"/>
      <c r="K23" s="654">
        <f>IFERROR(VLOOKUP(I23,'Emission Controls'!$A$3:$B$16,2,),0)</f>
        <v>0</v>
      </c>
      <c r="L23" s="48" t="str">
        <f t="shared" si="0"/>
        <v/>
      </c>
      <c r="V23" s="132" t="s">
        <v>1579</v>
      </c>
      <c r="W23" s="134"/>
    </row>
    <row r="24" spans="1:23" ht="18" customHeight="1" x14ac:dyDescent="0.25">
      <c r="A24" s="630">
        <f>'Table 5-A| Primary MPTE'!A48</f>
        <v>0</v>
      </c>
      <c r="B24" s="626">
        <f ca="1">'Table 5-A| Primary MPTE'!B48</f>
        <v>0</v>
      </c>
      <c r="C24" s="771"/>
      <c r="D24" s="631">
        <f ca="1">IFERROR('Table 5-A| Primary MPTE'!E48/VLOOKUP(B24,'Table 7-A| Primary APTE'!$AM$12:$AY$75,13,FALSE),0)</f>
        <v>0</v>
      </c>
      <c r="E24" s="771"/>
      <c r="F24" s="631">
        <f ca="1">IFERROR(VLOOKUP(B24,'Table 7-A| Primary APTE'!$AM$12:$AX$75,12,FALSE),0)</f>
        <v>0</v>
      </c>
      <c r="G24" s="771"/>
      <c r="H24" s="772"/>
      <c r="I24" s="771"/>
      <c r="J24" s="771"/>
      <c r="K24" s="654">
        <f>IFERROR(VLOOKUP(I24,'Emission Controls'!$A$3:$B$16,2,),0)</f>
        <v>0</v>
      </c>
      <c r="L24" s="48" t="str">
        <f t="shared" si="0"/>
        <v/>
      </c>
      <c r="V24" s="132" t="s">
        <v>1578</v>
      </c>
      <c r="W24" s="134"/>
    </row>
    <row r="25" spans="1:23" ht="18" customHeight="1" x14ac:dyDescent="0.25">
      <c r="A25" s="302">
        <f>'Table 5-A| Primary MPTE'!A49</f>
        <v>0</v>
      </c>
      <c r="B25" s="303">
        <f ca="1">'Table 5-A| Primary MPTE'!B49</f>
        <v>0</v>
      </c>
      <c r="C25" s="304"/>
      <c r="D25" s="305">
        <f ca="1">IFERROR('Table 5-A| Primary MPTE'!E48/VLOOKUP(B25,'Table 7-A| Primary APTE'!$AM$12:$AY$75,13,FALSE),0)</f>
        <v>0</v>
      </c>
      <c r="E25" s="304"/>
      <c r="F25" s="305">
        <f ca="1">IFERROR(VLOOKUP(B25,'Table 7-A| Primary APTE'!$AM$12:$AX$75,12,FALSE),0)</f>
        <v>0</v>
      </c>
      <c r="G25" s="304"/>
      <c r="H25" s="433"/>
      <c r="I25" s="304"/>
      <c r="J25" s="304"/>
      <c r="K25" s="654">
        <f>IFERROR(VLOOKUP(I25,'Emission Controls'!$A$3:$B$16,2,),0)</f>
        <v>0</v>
      </c>
      <c r="L25" s="48" t="str">
        <f t="shared" si="0"/>
        <v/>
      </c>
      <c r="V25" s="132" t="s">
        <v>1567</v>
      </c>
      <c r="W25" s="134"/>
    </row>
    <row r="26" spans="1:23" ht="18" customHeight="1" thickBot="1" x14ac:dyDescent="0.3">
      <c r="A26" s="309">
        <f>'Table 5-A| Primary MPTE'!A50</f>
        <v>0</v>
      </c>
      <c r="B26" s="310">
        <f ca="1">'Table 5-A| Primary MPTE'!B50</f>
        <v>0</v>
      </c>
      <c r="C26" s="311"/>
      <c r="D26" s="312">
        <f ca="1">IFERROR('Table 5-A| Primary MPTE'!E48/VLOOKUP(B26,'Table 7-A| Primary APTE'!$AM$12:$AY$75,13,FALSE),0)</f>
        <v>0</v>
      </c>
      <c r="E26" s="311"/>
      <c r="F26" s="312">
        <f ca="1">IFERROR(VLOOKUP(B26,'Table 7-A| Primary APTE'!$AM$12:$AX$75,12,FALSE),0)</f>
        <v>0</v>
      </c>
      <c r="G26" s="311"/>
      <c r="H26" s="434"/>
      <c r="I26" s="311"/>
      <c r="J26" s="311"/>
      <c r="K26" s="654">
        <f>IFERROR(VLOOKUP(I26,'Emission Controls'!$A$3:$B$16,2,),0)</f>
        <v>0</v>
      </c>
      <c r="L26" s="48" t="str">
        <f t="shared" si="0"/>
        <v/>
      </c>
      <c r="V26" s="132" t="s">
        <v>1580</v>
      </c>
      <c r="W26" s="134"/>
    </row>
    <row r="27" spans="1:23" ht="18" customHeight="1" x14ac:dyDescent="0.25">
      <c r="A27" s="630">
        <f>'Table 5-A| Primary MPTE'!A51</f>
        <v>0</v>
      </c>
      <c r="B27" s="626">
        <f ca="1">'Table 5-A| Primary MPTE'!B51</f>
        <v>0</v>
      </c>
      <c r="C27" s="771"/>
      <c r="D27" s="631">
        <f ca="1">IFERROR('Table 5-A| Primary MPTE'!E51/VLOOKUP(B27,'Table 7-A| Primary APTE'!$AM$12:$AY$75,13,FALSE),0)</f>
        <v>0</v>
      </c>
      <c r="E27" s="771"/>
      <c r="F27" s="631">
        <f ca="1">IFERROR(VLOOKUP(B27,'Table 7-A| Primary APTE'!$AM$12:$AX$75,12,FALSE),0)</f>
        <v>0</v>
      </c>
      <c r="G27" s="771"/>
      <c r="H27" s="772"/>
      <c r="I27" s="771"/>
      <c r="J27" s="771"/>
      <c r="K27" s="654">
        <f>IFERROR(VLOOKUP(I27,'Emission Controls'!$A$3:$B$16,2,),0)</f>
        <v>0</v>
      </c>
      <c r="L27" s="48" t="str">
        <f t="shared" si="0"/>
        <v/>
      </c>
      <c r="V27" s="132" t="s">
        <v>1577</v>
      </c>
      <c r="W27" s="134"/>
    </row>
    <row r="28" spans="1:23" ht="18" customHeight="1" x14ac:dyDescent="0.25">
      <c r="A28" s="302">
        <f>'Table 5-A| Primary MPTE'!A52</f>
        <v>0</v>
      </c>
      <c r="B28" s="303">
        <f ca="1">'Table 5-A| Primary MPTE'!B52</f>
        <v>0</v>
      </c>
      <c r="C28" s="304"/>
      <c r="D28" s="305">
        <f ca="1">IFERROR('Table 5-A| Primary MPTE'!E51/VLOOKUP(B28,'Table 7-A| Primary APTE'!$AM$12:$AY$75,13,FALSE),0)</f>
        <v>0</v>
      </c>
      <c r="E28" s="304"/>
      <c r="F28" s="305">
        <f ca="1">IFERROR(VLOOKUP(B28,'Table 7-A| Primary APTE'!$AM$12:$AX$75,12,FALSE),0)</f>
        <v>0</v>
      </c>
      <c r="G28" s="304"/>
      <c r="H28" s="433"/>
      <c r="I28" s="304"/>
      <c r="J28" s="304"/>
      <c r="K28" s="654">
        <f>IFERROR(VLOOKUP(I28,'Emission Controls'!$A$3:$B$16,2,),0)</f>
        <v>0</v>
      </c>
      <c r="L28" s="48" t="str">
        <f t="shared" si="0"/>
        <v/>
      </c>
      <c r="V28" s="132" t="s">
        <v>1576</v>
      </c>
      <c r="W28" s="134"/>
    </row>
    <row r="29" spans="1:23" ht="18" customHeight="1" thickBot="1" x14ac:dyDescent="0.3">
      <c r="A29" s="309">
        <f>'Table 5-A| Primary MPTE'!A53</f>
        <v>0</v>
      </c>
      <c r="B29" s="310">
        <f ca="1">'Table 5-A| Primary MPTE'!B53</f>
        <v>0</v>
      </c>
      <c r="C29" s="311"/>
      <c r="D29" s="312">
        <f ca="1">IFERROR('Table 5-A| Primary MPTE'!E51/VLOOKUP(B29,'Table 7-A| Primary APTE'!$AM$12:$AY$75,13,FALSE),0)</f>
        <v>0</v>
      </c>
      <c r="E29" s="311"/>
      <c r="F29" s="312">
        <f ca="1">IFERROR(VLOOKUP(B29,'Table 7-A| Primary APTE'!$AM$12:$AX$75,12,FALSE),0)</f>
        <v>0</v>
      </c>
      <c r="G29" s="311"/>
      <c r="H29" s="434"/>
      <c r="I29" s="311"/>
      <c r="J29" s="311"/>
      <c r="K29" s="654">
        <f>IFERROR(VLOOKUP(I29,'Emission Controls'!$A$3:$B$16,2,),0)</f>
        <v>0</v>
      </c>
      <c r="L29" s="48" t="str">
        <f t="shared" si="0"/>
        <v/>
      </c>
      <c r="V29" s="132" t="s">
        <v>1575</v>
      </c>
      <c r="W29" s="134"/>
    </row>
    <row r="30" spans="1:23" ht="18" customHeight="1" x14ac:dyDescent="0.25">
      <c r="A30" s="630">
        <f>'Table 5-A| Primary MPTE'!A54</f>
        <v>0</v>
      </c>
      <c r="B30" s="626">
        <f ca="1">'Table 5-A| Primary MPTE'!B54</f>
        <v>0</v>
      </c>
      <c r="C30" s="771"/>
      <c r="D30" s="631">
        <f ca="1">IFERROR('Table 5-A| Primary MPTE'!E54/VLOOKUP(B30,'Table 7-A| Primary APTE'!$AM$12:$AY$75,13,FALSE),0)</f>
        <v>0</v>
      </c>
      <c r="E30" s="771"/>
      <c r="F30" s="631">
        <f ca="1">IFERROR(VLOOKUP(B30,'Table 7-A| Primary APTE'!$AM$12:$AX$75,12,FALSE),0)</f>
        <v>0</v>
      </c>
      <c r="G30" s="771"/>
      <c r="H30" s="772"/>
      <c r="I30" s="771"/>
      <c r="J30" s="771"/>
      <c r="K30" s="654">
        <f>IFERROR(VLOOKUP(I30,'Emission Controls'!$A$3:$B$16,2,),0)</f>
        <v>0</v>
      </c>
      <c r="L30" s="48" t="str">
        <f t="shared" si="0"/>
        <v/>
      </c>
      <c r="V30" s="132" t="s">
        <v>1565</v>
      </c>
      <c r="W30" s="134"/>
    </row>
    <row r="31" spans="1:23" ht="18" customHeight="1" x14ac:dyDescent="0.25">
      <c r="A31" s="302">
        <f>'Table 5-A| Primary MPTE'!A55</f>
        <v>0</v>
      </c>
      <c r="B31" s="303">
        <f ca="1">'Table 5-A| Primary MPTE'!B55</f>
        <v>0</v>
      </c>
      <c r="C31" s="304"/>
      <c r="D31" s="305">
        <f ca="1">IFERROR('Table 5-A| Primary MPTE'!E54/VLOOKUP(B31,'Table 7-A| Primary APTE'!$AM$12:$AY$75,13,FALSE),0)</f>
        <v>0</v>
      </c>
      <c r="E31" s="304"/>
      <c r="F31" s="305">
        <f ca="1">IFERROR(VLOOKUP(B31,'Table 7-A| Primary APTE'!$AM$12:$AX$75,12,FALSE),0)</f>
        <v>0</v>
      </c>
      <c r="G31" s="304"/>
      <c r="H31" s="433"/>
      <c r="I31" s="304"/>
      <c r="J31" s="304"/>
      <c r="K31" s="654">
        <f>IFERROR(VLOOKUP(I31,'Emission Controls'!$A$3:$B$16,2,),0)</f>
        <v>0</v>
      </c>
      <c r="L31" s="130" t="str">
        <f t="shared" si="0"/>
        <v/>
      </c>
      <c r="M31" s="130"/>
      <c r="N31" s="130"/>
      <c r="O31" s="130"/>
      <c r="P31" s="130"/>
      <c r="Q31" s="130"/>
      <c r="V31" s="132" t="s">
        <v>1573</v>
      </c>
      <c r="W31" s="134"/>
    </row>
    <row r="32" spans="1:23" ht="18" customHeight="1" thickBot="1" x14ac:dyDescent="0.3">
      <c r="A32" s="309">
        <f>'Table 5-A| Primary MPTE'!A56</f>
        <v>0</v>
      </c>
      <c r="B32" s="310">
        <f ca="1">'Table 5-A| Primary MPTE'!B56</f>
        <v>0</v>
      </c>
      <c r="C32" s="311"/>
      <c r="D32" s="312">
        <f ca="1">IFERROR('Table 5-A| Primary MPTE'!E54/VLOOKUP(B32,'Table 7-A| Primary APTE'!$AM$12:$AY$75,13,FALSE),0)</f>
        <v>0</v>
      </c>
      <c r="E32" s="311"/>
      <c r="F32" s="312">
        <f ca="1">IFERROR(VLOOKUP(B32,'Table 7-A| Primary APTE'!$AM$12:$AX$75,12,FALSE),0)</f>
        <v>0</v>
      </c>
      <c r="G32" s="311"/>
      <c r="H32" s="434"/>
      <c r="I32" s="311"/>
      <c r="J32" s="311"/>
      <c r="K32" s="654">
        <f>IFERROR(VLOOKUP(I32,'Emission Controls'!$A$3:$B$16,2,),0)</f>
        <v>0</v>
      </c>
      <c r="L32" s="130" t="str">
        <f t="shared" si="0"/>
        <v/>
      </c>
      <c r="M32" s="130"/>
      <c r="N32" s="130"/>
      <c r="O32" s="130"/>
      <c r="P32" s="130"/>
      <c r="Q32" s="130"/>
      <c r="V32" s="132" t="s">
        <v>1559</v>
      </c>
    </row>
    <row r="33" spans="1:23" ht="18" customHeight="1" thickBot="1" x14ac:dyDescent="0.3">
      <c r="A33" s="630">
        <f>'Table 5-A| Primary MPTE'!A57</f>
        <v>0</v>
      </c>
      <c r="B33" s="626">
        <f ca="1">'Table 5-A| Primary MPTE'!B57</f>
        <v>0</v>
      </c>
      <c r="C33" s="771"/>
      <c r="D33" s="631">
        <f ca="1">IFERROR('Table 5-A| Primary MPTE'!E57/VLOOKUP(B33,'Table 7-A| Primary APTE'!$AM$12:$AY$75,13,FALSE),0)</f>
        <v>0</v>
      </c>
      <c r="E33" s="771"/>
      <c r="F33" s="631">
        <f ca="1">IFERROR(VLOOKUP(B33,'Table 7-A| Primary APTE'!$AM$12:$AX$75,12,FALSE),0)</f>
        <v>0</v>
      </c>
      <c r="G33" s="771"/>
      <c r="H33" s="772"/>
      <c r="I33" s="771"/>
      <c r="J33" s="771"/>
      <c r="K33" s="654">
        <f>IFERROR(VLOOKUP(I33,'Emission Controls'!$A$3:$B$16,2,),0)</f>
        <v>0</v>
      </c>
      <c r="L33" s="48" t="str">
        <f t="shared" si="0"/>
        <v/>
      </c>
      <c r="V33" s="133" t="s">
        <v>1568</v>
      </c>
      <c r="W33" s="134"/>
    </row>
    <row r="34" spans="1:23" ht="18" customHeight="1" x14ac:dyDescent="0.25">
      <c r="A34" s="302">
        <f>'Table 5-A| Primary MPTE'!A58</f>
        <v>0</v>
      </c>
      <c r="B34" s="303">
        <f ca="1">'Table 5-A| Primary MPTE'!B58</f>
        <v>0</v>
      </c>
      <c r="C34" s="304"/>
      <c r="D34" s="305">
        <f ca="1">IFERROR('Table 5-A| Primary MPTE'!E57/VLOOKUP(B34,'Table 7-A| Primary APTE'!$AM$12:$AY$75,13,FALSE),0)</f>
        <v>0</v>
      </c>
      <c r="E34" s="304"/>
      <c r="F34" s="305">
        <f ca="1">IFERROR(VLOOKUP(B34,'Table 7-A| Primary APTE'!$AM$12:$AX$75,12,FALSE),0)</f>
        <v>0</v>
      </c>
      <c r="G34" s="304"/>
      <c r="H34" s="433"/>
      <c r="I34" s="304"/>
      <c r="J34" s="304"/>
      <c r="K34" s="654">
        <f>IFERROR(VLOOKUP(I34,'Emission Controls'!$A$3:$B$16,2,),0)</f>
        <v>0</v>
      </c>
      <c r="L34" s="48" t="str">
        <f t="shared" si="0"/>
        <v/>
      </c>
      <c r="W34" s="134"/>
    </row>
    <row r="35" spans="1:23" ht="18" customHeight="1" thickBot="1" x14ac:dyDescent="0.3">
      <c r="A35" s="302">
        <f>'Table 5-A| Primary MPTE'!A59</f>
        <v>0</v>
      </c>
      <c r="B35" s="303">
        <f ca="1">'Table 5-A| Primary MPTE'!B59</f>
        <v>0</v>
      </c>
      <c r="C35" s="304"/>
      <c r="D35" s="305">
        <f ca="1">IFERROR('Table 5-A| Primary MPTE'!E57/VLOOKUP(B35,'Table 7-A| Primary APTE'!$AM$12:$AY$75,13,FALSE),0)</f>
        <v>0</v>
      </c>
      <c r="E35" s="304"/>
      <c r="F35" s="305">
        <f ca="1">IFERROR(VLOOKUP(B35,'Table 7-A| Primary APTE'!$AM$12:$AX$75,12,FALSE),0)</f>
        <v>0</v>
      </c>
      <c r="G35" s="304"/>
      <c r="H35" s="433"/>
      <c r="I35" s="304"/>
      <c r="J35" s="304"/>
      <c r="K35" s="654">
        <f>IFERROR(VLOOKUP(I35,'Emission Controls'!$A$3:$B$16,2,),0)</f>
        <v>0</v>
      </c>
      <c r="L35" s="48" t="str">
        <f t="shared" si="0"/>
        <v/>
      </c>
      <c r="W35" s="134"/>
    </row>
    <row r="36" spans="1:23" ht="18" customHeight="1" x14ac:dyDescent="0.25">
      <c r="A36" s="1446" t="str">
        <f>'Table 5-A| Primary MPTE'!A60</f>
        <v>Cooling Tower Emission Units</v>
      </c>
      <c r="B36" s="1447"/>
      <c r="C36" s="1447"/>
      <c r="D36" s="1447"/>
      <c r="E36" s="1447"/>
      <c r="F36" s="1447"/>
      <c r="G36" s="1447"/>
      <c r="H36" s="1447"/>
      <c r="I36" s="1447"/>
      <c r="J36" s="1448"/>
      <c r="K36" s="654">
        <f>IFERROR(VLOOKUP(I36,'Emission Controls'!$A$3:$B$16,2,),0)</f>
        <v>0</v>
      </c>
      <c r="L36" s="130"/>
      <c r="M36" s="130"/>
      <c r="N36" s="130"/>
      <c r="O36" s="130"/>
      <c r="P36" s="130"/>
      <c r="Q36" s="130"/>
      <c r="W36" s="134"/>
    </row>
    <row r="37" spans="1:23" ht="18" customHeight="1" thickBot="1" x14ac:dyDescent="0.3">
      <c r="A37" s="302">
        <f>'Table 5-A| Primary MPTE'!A61</f>
        <v>0</v>
      </c>
      <c r="B37" s="303">
        <f>'Table 5-A| Primary MPTE'!B61</f>
        <v>0</v>
      </c>
      <c r="C37" s="783"/>
      <c r="D37" s="305">
        <f>'Table 5-A| Primary MPTE'!E61</f>
        <v>0</v>
      </c>
      <c r="E37" s="783"/>
      <c r="F37" s="305">
        <f>IFERROR(VLOOKUP(B37,'Table 7-A| Primary APTE'!$AM$12:$AX$75,12,FALSE),0)</f>
        <v>0</v>
      </c>
      <c r="G37" s="783"/>
      <c r="H37" s="784"/>
      <c r="I37" s="783"/>
      <c r="J37" s="783"/>
      <c r="K37" s="654">
        <f>IFERROR(VLOOKUP(I37,'Emission Controls'!$A$3:$B$16,2,),0)</f>
        <v>0</v>
      </c>
      <c r="L37" s="130"/>
      <c r="M37" s="130"/>
      <c r="N37" s="130"/>
      <c r="O37" s="130"/>
      <c r="P37" s="130"/>
      <c r="Q37" s="130"/>
    </row>
    <row r="38" spans="1:23" ht="18" customHeight="1" x14ac:dyDescent="0.25">
      <c r="A38" s="1446" t="str">
        <f>'Table 5-A| Primary MPTE'!A62</f>
        <v>Combustion Turbine Emission Units</v>
      </c>
      <c r="B38" s="1447"/>
      <c r="C38" s="1447"/>
      <c r="D38" s="1447"/>
      <c r="E38" s="1447"/>
      <c r="F38" s="1447"/>
      <c r="G38" s="1447"/>
      <c r="H38" s="1447"/>
      <c r="I38" s="1447"/>
      <c r="J38" s="1448"/>
      <c r="K38" s="654">
        <f>IFERROR(VLOOKUP(I38,'Emission Controls'!$A$3:$B$16,2,),0)</f>
        <v>0</v>
      </c>
      <c r="L38" s="130"/>
      <c r="M38" s="130"/>
      <c r="N38" s="130"/>
      <c r="O38" s="130"/>
      <c r="P38" s="130"/>
      <c r="Q38" s="130"/>
    </row>
    <row r="39" spans="1:23" ht="18" customHeight="1" x14ac:dyDescent="0.25">
      <c r="A39" s="302">
        <f>'Table 5-A| Primary MPTE'!A63</f>
        <v>0</v>
      </c>
      <c r="B39" s="303">
        <f ca="1">'Table 5-A| Primary MPTE'!B63</f>
        <v>0</v>
      </c>
      <c r="C39" s="304"/>
      <c r="D39" s="305">
        <f ca="1">IFERROR('Table 5-A| Primary MPTE'!E63/VLOOKUP(B39,'Table 7-A| Primary APTE'!$AM$12:$AY$75,13,FALSE),0)</f>
        <v>0</v>
      </c>
      <c r="E39" s="304"/>
      <c r="F39" s="305">
        <f ca="1">IFERROR(VLOOKUP(B39,'Table 7-A| Primary APTE'!$AM$12:$AX$75,12,FALSE),0)</f>
        <v>0</v>
      </c>
      <c r="G39" s="304"/>
      <c r="H39" s="433"/>
      <c r="I39" s="304"/>
      <c r="J39" s="304"/>
      <c r="K39" s="654">
        <f>IFERROR(VLOOKUP(I39,'Emission Controls'!$A$3:$B$16,2,),0)</f>
        <v>0</v>
      </c>
      <c r="L39" s="48" t="str">
        <f t="shared" ref="L39:L44" si="1">IF(AND(G39="No",NOT(ISBLANK(I39))),"&lt;&lt;&lt; Remove entry from Control Type!","")</f>
        <v/>
      </c>
    </row>
    <row r="40" spans="1:23" ht="18" customHeight="1" thickBot="1" x14ac:dyDescent="0.3">
      <c r="A40" s="309">
        <f>'Table 5-A| Primary MPTE'!A64</f>
        <v>0</v>
      </c>
      <c r="B40" s="310">
        <f ca="1">'Table 5-A| Primary MPTE'!B64</f>
        <v>0</v>
      </c>
      <c r="C40" s="311"/>
      <c r="D40" s="312">
        <f ca="1">IFERROR('Table 5-A| Primary MPTE'!E63/VLOOKUP(B40,'Table 7-A| Primary APTE'!$AM$12:$AY$75,13,FALSE),0)</f>
        <v>0</v>
      </c>
      <c r="E40" s="311"/>
      <c r="F40" s="312">
        <f ca="1">IFERROR(VLOOKUP(B40,'Table 7-A| Primary APTE'!$AM$12:$AX$75,12,FALSE),0)</f>
        <v>0</v>
      </c>
      <c r="G40" s="311"/>
      <c r="H40" s="434"/>
      <c r="I40" s="311"/>
      <c r="J40" s="311"/>
      <c r="K40" s="654">
        <f>IFERROR(VLOOKUP(I40,'Emission Controls'!$A$3:$B$16,2,),0)</f>
        <v>0</v>
      </c>
      <c r="L40" s="48" t="str">
        <f t="shared" si="1"/>
        <v/>
      </c>
    </row>
    <row r="41" spans="1:23" ht="18" customHeight="1" x14ac:dyDescent="0.25">
      <c r="A41" s="630">
        <f>'Table 5-A| Primary MPTE'!A65</f>
        <v>0</v>
      </c>
      <c r="B41" s="626">
        <f ca="1">'Table 5-A| Primary MPTE'!B65</f>
        <v>0</v>
      </c>
      <c r="C41" s="771"/>
      <c r="D41" s="631">
        <f ca="1">IFERROR('Table 5-A| Primary MPTE'!E65/VLOOKUP(B41,'Table 7-A| Primary APTE'!$AM$12:$AY$75,13,FALSE),0)</f>
        <v>0</v>
      </c>
      <c r="E41" s="771"/>
      <c r="F41" s="631">
        <f ca="1">IFERROR(VLOOKUP(B41,'Table 7-A| Primary APTE'!$AM$12:$AX$75,12,FALSE),0)</f>
        <v>0</v>
      </c>
      <c r="G41" s="771"/>
      <c r="H41" s="772"/>
      <c r="I41" s="771"/>
      <c r="J41" s="771"/>
      <c r="K41" s="654">
        <f>IFERROR(VLOOKUP(I41,'Emission Controls'!$A$3:$B$16,2,),0)</f>
        <v>0</v>
      </c>
      <c r="L41" s="48" t="str">
        <f t="shared" si="1"/>
        <v/>
      </c>
    </row>
    <row r="42" spans="1:23" ht="18" customHeight="1" thickBot="1" x14ac:dyDescent="0.3">
      <c r="A42" s="309">
        <f>'Table 5-A| Primary MPTE'!A66</f>
        <v>0</v>
      </c>
      <c r="B42" s="310">
        <f ca="1">'Table 5-A| Primary MPTE'!B66</f>
        <v>0</v>
      </c>
      <c r="C42" s="311"/>
      <c r="D42" s="312">
        <f ca="1">IFERROR('Table 5-A| Primary MPTE'!E65/VLOOKUP(B42,'Table 7-A| Primary APTE'!$AM$12:$AY$75,13,FALSE),0)</f>
        <v>0</v>
      </c>
      <c r="E42" s="311"/>
      <c r="F42" s="312">
        <f ca="1">IFERROR(VLOOKUP(B42,'Table 7-A| Primary APTE'!$AM$12:$AX$75,12,FALSE),0)</f>
        <v>0</v>
      </c>
      <c r="G42" s="311"/>
      <c r="H42" s="434"/>
      <c r="I42" s="311"/>
      <c r="J42" s="311"/>
      <c r="K42" s="654">
        <f>IFERROR(VLOOKUP(I42,'Emission Controls'!$A$3:$B$16,2,),0)</f>
        <v>0</v>
      </c>
      <c r="L42" s="48" t="str">
        <f t="shared" si="1"/>
        <v/>
      </c>
    </row>
    <row r="43" spans="1:23" ht="18" customHeight="1" x14ac:dyDescent="0.25">
      <c r="A43" s="630">
        <f>'Table 5-A| Primary MPTE'!A67</f>
        <v>0</v>
      </c>
      <c r="B43" s="626">
        <f ca="1">'Table 5-A| Primary MPTE'!B67</f>
        <v>0</v>
      </c>
      <c r="C43" s="771"/>
      <c r="D43" s="631">
        <f ca="1">IFERROR('Table 5-A| Primary MPTE'!E67/VLOOKUP(B43,'Table 7-A| Primary APTE'!$AM$12:$AY$75,13,FALSE),0)</f>
        <v>0</v>
      </c>
      <c r="E43" s="771"/>
      <c r="F43" s="631">
        <f ca="1">IFERROR(VLOOKUP(B43,'Table 7-A| Primary APTE'!$AM$12:$AX$75,12,FALSE),0)</f>
        <v>0</v>
      </c>
      <c r="G43" s="771"/>
      <c r="H43" s="772"/>
      <c r="I43" s="771"/>
      <c r="J43" s="771"/>
      <c r="K43" s="654">
        <f>IFERROR(VLOOKUP(I43,'Emission Controls'!$A$3:$B$16,2,),0)</f>
        <v>0</v>
      </c>
      <c r="L43" s="48" t="str">
        <f t="shared" si="1"/>
        <v/>
      </c>
    </row>
    <row r="44" spans="1:23" ht="18" customHeight="1" thickBot="1" x14ac:dyDescent="0.3">
      <c r="A44" s="302">
        <f>'Table 5-A| Primary MPTE'!A68</f>
        <v>0</v>
      </c>
      <c r="B44" s="303">
        <f ca="1">'Table 5-A| Primary MPTE'!B68</f>
        <v>0</v>
      </c>
      <c r="C44" s="304"/>
      <c r="D44" s="305">
        <f ca="1">IFERROR('Table 5-A| Primary MPTE'!E67/VLOOKUP(B44,'Table 7-A| Primary APTE'!$AM$12:$AY$75,13,FALSE),0)</f>
        <v>0</v>
      </c>
      <c r="E44" s="304"/>
      <c r="F44" s="305">
        <f ca="1">IFERROR(VLOOKUP(B44,'Table 7-A| Primary APTE'!$AM$12:$AX$75,12,FALSE),0)</f>
        <v>0</v>
      </c>
      <c r="G44" s="304"/>
      <c r="H44" s="433"/>
      <c r="I44" s="304"/>
      <c r="J44" s="304"/>
      <c r="K44" s="654">
        <f>IFERROR(VLOOKUP(I44,'Emission Controls'!$A$3:$B$16,2,),0)</f>
        <v>0</v>
      </c>
      <c r="L44" s="48" t="str">
        <f t="shared" si="1"/>
        <v/>
      </c>
    </row>
    <row r="45" spans="1:23" ht="18" customHeight="1" x14ac:dyDescent="0.25">
      <c r="A45" s="1446" t="str">
        <f>'Table 5-A| Primary MPTE'!A69</f>
        <v>Stationary Engine Emission Units</v>
      </c>
      <c r="B45" s="1447"/>
      <c r="C45" s="1447"/>
      <c r="D45" s="1447"/>
      <c r="E45" s="1447"/>
      <c r="F45" s="1447"/>
      <c r="G45" s="1447"/>
      <c r="H45" s="1447"/>
      <c r="I45" s="1447"/>
      <c r="J45" s="1448"/>
      <c r="K45" s="654">
        <f>IFERROR(VLOOKUP(I45,'Emission Controls'!$A$3:$B$16,2,),0)</f>
        <v>0</v>
      </c>
    </row>
    <row r="46" spans="1:23" ht="18" customHeight="1" x14ac:dyDescent="0.25">
      <c r="A46" s="302">
        <f>'Table 5-A| Primary MPTE'!A70</f>
        <v>0</v>
      </c>
      <c r="B46" s="303">
        <f ca="1">'Table 5-A| Primary MPTE'!B70</f>
        <v>0</v>
      </c>
      <c r="C46" s="304"/>
      <c r="D46" s="305">
        <f>'Table 5-A| Primary MPTE'!E70</f>
        <v>0</v>
      </c>
      <c r="E46" s="304"/>
      <c r="F46" s="305">
        <f ca="1">IFERROR(VLOOKUP(B46,'Table 7-A| Primary APTE'!$AM$12:$AX$75,12,FALSE),0)</f>
        <v>0</v>
      </c>
      <c r="G46" s="304"/>
      <c r="H46" s="433"/>
      <c r="I46" s="304"/>
      <c r="J46" s="304"/>
      <c r="K46" s="654">
        <f>IFERROR(VLOOKUP(I46,'Emission Controls'!$A$3:$B$16,2,),0)</f>
        <v>0</v>
      </c>
      <c r="L46" s="48" t="str">
        <f t="shared" ref="L46:L50" si="2">IF(AND(G46="No",NOT(ISBLANK(I46))),"&lt;&lt;&lt; Remove entry from Control Type!","")</f>
        <v/>
      </c>
    </row>
    <row r="47" spans="1:23" ht="18" customHeight="1" x14ac:dyDescent="0.25">
      <c r="A47" s="302">
        <f>'Table 5-A| Primary MPTE'!A71</f>
        <v>0</v>
      </c>
      <c r="B47" s="303">
        <f ca="1">'Table 5-A| Primary MPTE'!B71</f>
        <v>0</v>
      </c>
      <c r="C47" s="304"/>
      <c r="D47" s="305">
        <f>'Table 5-A| Primary MPTE'!E71</f>
        <v>0</v>
      </c>
      <c r="E47" s="304"/>
      <c r="F47" s="305">
        <f ca="1">IFERROR(VLOOKUP(B47,'Table 7-A| Primary APTE'!$AM$12:$AX$75,12,FALSE),0)</f>
        <v>0</v>
      </c>
      <c r="G47" s="304"/>
      <c r="H47" s="433"/>
      <c r="I47" s="304"/>
      <c r="J47" s="304"/>
      <c r="K47" s="654">
        <f>IFERROR(VLOOKUP(I47,'Emission Controls'!$A$3:$B$16,2,),0)</f>
        <v>0</v>
      </c>
      <c r="L47" s="48" t="str">
        <f t="shared" si="2"/>
        <v/>
      </c>
    </row>
    <row r="48" spans="1:23" ht="18" customHeight="1" x14ac:dyDescent="0.25">
      <c r="A48" s="302">
        <f>'Table 5-A| Primary MPTE'!A72</f>
        <v>0</v>
      </c>
      <c r="B48" s="303">
        <f ca="1">'Table 5-A| Primary MPTE'!B72</f>
        <v>0</v>
      </c>
      <c r="C48" s="304"/>
      <c r="D48" s="305">
        <f>'Table 5-A| Primary MPTE'!E72</f>
        <v>0</v>
      </c>
      <c r="E48" s="304"/>
      <c r="F48" s="305">
        <f ca="1">IFERROR(VLOOKUP(B48,'Table 7-A| Primary APTE'!$AM$12:$AX$75,12,FALSE),0)</f>
        <v>0</v>
      </c>
      <c r="G48" s="304"/>
      <c r="H48" s="433"/>
      <c r="I48" s="304"/>
      <c r="J48" s="304"/>
      <c r="K48" s="654">
        <f>IFERROR(VLOOKUP(I48,'Emission Controls'!$A$3:$B$16,2,),0)</f>
        <v>0</v>
      </c>
      <c r="L48" s="48" t="str">
        <f t="shared" si="2"/>
        <v/>
      </c>
    </row>
    <row r="49" spans="1:12" ht="18" customHeight="1" x14ac:dyDescent="0.25">
      <c r="A49" s="302">
        <f>'Table 5-A| Primary MPTE'!A73</f>
        <v>0</v>
      </c>
      <c r="B49" s="303">
        <f ca="1">'Table 5-A| Primary MPTE'!B73</f>
        <v>0</v>
      </c>
      <c r="C49" s="304"/>
      <c r="D49" s="305">
        <f>'Table 5-A| Primary MPTE'!E73</f>
        <v>0</v>
      </c>
      <c r="E49" s="304"/>
      <c r="F49" s="305">
        <f ca="1">IFERROR(VLOOKUP(B49,'Table 7-A| Primary APTE'!$AM$12:$AX$75,12,FALSE),0)</f>
        <v>0</v>
      </c>
      <c r="G49" s="304"/>
      <c r="H49" s="433"/>
      <c r="I49" s="304"/>
      <c r="J49" s="304"/>
      <c r="K49" s="654">
        <f>IFERROR(VLOOKUP(I49,'Emission Controls'!$A$3:$B$16,2,),0)</f>
        <v>0</v>
      </c>
      <c r="L49" s="48" t="str">
        <f t="shared" si="2"/>
        <v/>
      </c>
    </row>
    <row r="50" spans="1:12" ht="18" customHeight="1" thickBot="1" x14ac:dyDescent="0.3">
      <c r="A50" s="302">
        <f>'Table 5-A| Primary MPTE'!A74</f>
        <v>0</v>
      </c>
      <c r="B50" s="303">
        <f ca="1">'Table 5-A| Primary MPTE'!B74</f>
        <v>0</v>
      </c>
      <c r="C50" s="304"/>
      <c r="D50" s="305">
        <f>'Table 5-A| Primary MPTE'!E74</f>
        <v>0</v>
      </c>
      <c r="E50" s="304"/>
      <c r="F50" s="305">
        <f ca="1">IFERROR(VLOOKUP(B50,'Table 7-A| Primary APTE'!$AM$12:$AX$75,12,FALSE),0)</f>
        <v>0</v>
      </c>
      <c r="G50" s="304"/>
      <c r="H50" s="433"/>
      <c r="I50" s="304"/>
      <c r="J50" s="304"/>
      <c r="K50" s="654">
        <f>IFERROR(VLOOKUP(I50,'Emission Controls'!$A$3:$B$16,2,),0)</f>
        <v>0</v>
      </c>
      <c r="L50" s="48" t="str">
        <f t="shared" si="2"/>
        <v/>
      </c>
    </row>
    <row r="51" spans="1:12" ht="18" customHeight="1" x14ac:dyDescent="0.25">
      <c r="A51" s="1446" t="str">
        <f>'Table 5-A| Primary MPTE'!A75</f>
        <v>Miscellaneous Emission Units</v>
      </c>
      <c r="B51" s="1447"/>
      <c r="C51" s="1447"/>
      <c r="D51" s="1447"/>
      <c r="E51" s="1447"/>
      <c r="F51" s="1447"/>
      <c r="G51" s="1447"/>
      <c r="H51" s="1447"/>
      <c r="I51" s="1447"/>
      <c r="J51" s="1448"/>
      <c r="K51" s="654">
        <f>IFERROR(VLOOKUP(I51,'Emission Controls'!$A$3:$B$16,2,),0)</f>
        <v>0</v>
      </c>
    </row>
    <row r="52" spans="1:12" ht="18" customHeight="1" x14ac:dyDescent="0.25">
      <c r="A52" s="302">
        <f>'Table 5-A| Primary MPTE'!A76</f>
        <v>0</v>
      </c>
      <c r="B52" s="303">
        <f>'Table 5-A| Primary MPTE'!B76</f>
        <v>0</v>
      </c>
      <c r="C52" s="304"/>
      <c r="D52" s="305">
        <f>'Table 5-A| Primary MPTE'!E76</f>
        <v>0</v>
      </c>
      <c r="E52" s="304"/>
      <c r="F52" s="305">
        <f>'Table 5-A| Primary MPTE'!D76</f>
        <v>0</v>
      </c>
      <c r="G52" s="304"/>
      <c r="H52" s="433"/>
      <c r="I52" s="304"/>
      <c r="J52" s="304"/>
      <c r="K52" s="654">
        <f>IFERROR(VLOOKUP(I52,'Emission Controls'!$A$3:$B$16,2,),0)</f>
        <v>0</v>
      </c>
      <c r="L52" s="48" t="str">
        <f t="shared" ref="L52:L84" si="3">IF(AND(G52="No",NOT(ISBLANK(I52))),"&lt;&lt;&lt; Remove entry from Control Type!","")</f>
        <v/>
      </c>
    </row>
    <row r="53" spans="1:12" ht="18" customHeight="1" x14ac:dyDescent="0.25">
      <c r="A53" s="302">
        <f>'Table 5-A| Primary MPTE'!A77</f>
        <v>0</v>
      </c>
      <c r="B53" s="303">
        <f>'Table 5-A| Primary MPTE'!B77</f>
        <v>0</v>
      </c>
      <c r="C53" s="304"/>
      <c r="D53" s="305">
        <f>'Table 5-A| Primary MPTE'!E77</f>
        <v>0</v>
      </c>
      <c r="E53" s="304"/>
      <c r="F53" s="305">
        <f>'Table 5-A| Primary MPTE'!D77</f>
        <v>0</v>
      </c>
      <c r="G53" s="304"/>
      <c r="H53" s="433"/>
      <c r="I53" s="304"/>
      <c r="J53" s="304"/>
      <c r="K53" s="654">
        <f>IFERROR(VLOOKUP(I53,'Emission Controls'!$A$3:$B$16,2,),0)</f>
        <v>0</v>
      </c>
      <c r="L53" s="48" t="str">
        <f t="shared" si="3"/>
        <v/>
      </c>
    </row>
    <row r="54" spans="1:12" ht="18" customHeight="1" x14ac:dyDescent="0.25">
      <c r="A54" s="302">
        <f>'Table 5-A| Primary MPTE'!A78</f>
        <v>0</v>
      </c>
      <c r="B54" s="303">
        <f>'Table 5-A| Primary MPTE'!B78</f>
        <v>0</v>
      </c>
      <c r="C54" s="304"/>
      <c r="D54" s="305">
        <f>'Table 5-A| Primary MPTE'!E78</f>
        <v>0</v>
      </c>
      <c r="E54" s="304"/>
      <c r="F54" s="305">
        <f>'Table 5-A| Primary MPTE'!D78</f>
        <v>0</v>
      </c>
      <c r="G54" s="304"/>
      <c r="H54" s="433"/>
      <c r="I54" s="304"/>
      <c r="J54" s="304"/>
      <c r="K54" s="654">
        <f>IFERROR(VLOOKUP(I54,'Emission Controls'!$A$3:$B$16,2,),0)</f>
        <v>0</v>
      </c>
      <c r="L54" s="48" t="str">
        <f t="shared" si="3"/>
        <v/>
      </c>
    </row>
    <row r="55" spans="1:12" ht="18" customHeight="1" x14ac:dyDescent="0.25">
      <c r="A55" s="302">
        <f>'Table 5-A| Primary MPTE'!A79</f>
        <v>0</v>
      </c>
      <c r="B55" s="303">
        <f>'Table 5-A| Primary MPTE'!B79</f>
        <v>0</v>
      </c>
      <c r="C55" s="304"/>
      <c r="D55" s="305">
        <f>'Table 5-A| Primary MPTE'!E79</f>
        <v>0</v>
      </c>
      <c r="E55" s="304"/>
      <c r="F55" s="305">
        <f>'Table 5-A| Primary MPTE'!D79</f>
        <v>0</v>
      </c>
      <c r="G55" s="304"/>
      <c r="H55" s="433"/>
      <c r="I55" s="304"/>
      <c r="J55" s="304"/>
      <c r="K55" s="654">
        <f>IFERROR(VLOOKUP(I55,'Emission Controls'!$A$3:$B$16,2,),0)</f>
        <v>0</v>
      </c>
      <c r="L55" s="48" t="str">
        <f t="shared" si="3"/>
        <v/>
      </c>
    </row>
    <row r="56" spans="1:12" ht="18" customHeight="1" x14ac:dyDescent="0.25">
      <c r="A56" s="302">
        <f>'Table 5-A| Primary MPTE'!A80</f>
        <v>0</v>
      </c>
      <c r="B56" s="303">
        <f>'Table 5-A| Primary MPTE'!B80</f>
        <v>0</v>
      </c>
      <c r="C56" s="304"/>
      <c r="D56" s="305">
        <f>'Table 5-A| Primary MPTE'!E80</f>
        <v>0</v>
      </c>
      <c r="E56" s="304"/>
      <c r="F56" s="305">
        <f>'Table 5-A| Primary MPTE'!D80</f>
        <v>0</v>
      </c>
      <c r="G56" s="304"/>
      <c r="H56" s="433"/>
      <c r="I56" s="304"/>
      <c r="J56" s="304"/>
      <c r="K56" s="654">
        <f>IFERROR(VLOOKUP(I56,'Emission Controls'!$A$3:$B$16,2,),0)</f>
        <v>0</v>
      </c>
      <c r="L56" s="48" t="str">
        <f t="shared" si="3"/>
        <v/>
      </c>
    </row>
    <row r="57" spans="1:12" ht="18" customHeight="1" x14ac:dyDescent="0.25">
      <c r="A57" s="302">
        <f>'Table 5-A| Primary MPTE'!A81</f>
        <v>0</v>
      </c>
      <c r="B57" s="303">
        <f>'Table 5-A| Primary MPTE'!B81</f>
        <v>0</v>
      </c>
      <c r="C57" s="304"/>
      <c r="D57" s="305">
        <f>'Table 5-A| Primary MPTE'!E81</f>
        <v>0</v>
      </c>
      <c r="E57" s="304"/>
      <c r="F57" s="305">
        <f>'Table 5-A| Primary MPTE'!D81</f>
        <v>0</v>
      </c>
      <c r="G57" s="304"/>
      <c r="H57" s="433"/>
      <c r="I57" s="304"/>
      <c r="J57" s="304"/>
      <c r="K57" s="654">
        <f>IFERROR(VLOOKUP(I57,'Emission Controls'!$A$3:$B$16,2,),0)</f>
        <v>0</v>
      </c>
      <c r="L57" s="48" t="str">
        <f t="shared" si="3"/>
        <v/>
      </c>
    </row>
    <row r="58" spans="1:12" ht="18" customHeight="1" x14ac:dyDescent="0.25">
      <c r="A58" s="302">
        <f>'Table 5-A| Primary MPTE'!A82</f>
        <v>0</v>
      </c>
      <c r="B58" s="303">
        <f>'Table 5-A| Primary MPTE'!B82</f>
        <v>0</v>
      </c>
      <c r="C58" s="304"/>
      <c r="D58" s="305">
        <f>'Table 5-A| Primary MPTE'!E82</f>
        <v>0</v>
      </c>
      <c r="E58" s="304"/>
      <c r="F58" s="305">
        <f>'Table 5-A| Primary MPTE'!D82</f>
        <v>0</v>
      </c>
      <c r="G58" s="304"/>
      <c r="H58" s="433"/>
      <c r="I58" s="304"/>
      <c r="J58" s="304"/>
      <c r="K58" s="654">
        <f>IFERROR(VLOOKUP(I58,'Emission Controls'!$A$3:$B$16,2,),0)</f>
        <v>0</v>
      </c>
      <c r="L58" s="48" t="str">
        <f t="shared" si="3"/>
        <v/>
      </c>
    </row>
    <row r="59" spans="1:12" ht="18" customHeight="1" x14ac:dyDescent="0.25">
      <c r="A59" s="302">
        <f>'Table 5-A| Primary MPTE'!A83</f>
        <v>0</v>
      </c>
      <c r="B59" s="303">
        <f>'Table 5-A| Primary MPTE'!B83</f>
        <v>0</v>
      </c>
      <c r="C59" s="304"/>
      <c r="D59" s="305">
        <f>'Table 5-A| Primary MPTE'!E83</f>
        <v>0</v>
      </c>
      <c r="E59" s="304"/>
      <c r="F59" s="305">
        <f>'Table 5-A| Primary MPTE'!D83</f>
        <v>0</v>
      </c>
      <c r="G59" s="304"/>
      <c r="H59" s="433"/>
      <c r="I59" s="304"/>
      <c r="J59" s="304"/>
      <c r="K59" s="654">
        <f>IFERROR(VLOOKUP(I59,'Emission Controls'!$A$3:$B$16,2,),0)</f>
        <v>0</v>
      </c>
      <c r="L59" s="48" t="str">
        <f t="shared" si="3"/>
        <v/>
      </c>
    </row>
    <row r="60" spans="1:12" ht="18" customHeight="1" x14ac:dyDescent="0.25">
      <c r="A60" s="302">
        <f>'Table 5-A| Primary MPTE'!A84</f>
        <v>0</v>
      </c>
      <c r="B60" s="303">
        <f>'Table 5-A| Primary MPTE'!B84</f>
        <v>0</v>
      </c>
      <c r="C60" s="304"/>
      <c r="D60" s="305">
        <f>'Table 5-A| Primary MPTE'!E84</f>
        <v>0</v>
      </c>
      <c r="E60" s="304"/>
      <c r="F60" s="305">
        <f>'Table 5-A| Primary MPTE'!D84</f>
        <v>0</v>
      </c>
      <c r="G60" s="304"/>
      <c r="H60" s="433"/>
      <c r="I60" s="304"/>
      <c r="J60" s="304"/>
      <c r="K60" s="654">
        <f>IFERROR(VLOOKUP(I60,'Emission Controls'!$A$3:$B$16,2,),0)</f>
        <v>0</v>
      </c>
      <c r="L60" s="48" t="str">
        <f t="shared" si="3"/>
        <v/>
      </c>
    </row>
    <row r="61" spans="1:12" ht="18" customHeight="1" x14ac:dyDescent="0.25">
      <c r="A61" s="302">
        <f>'Table 5-A| Primary MPTE'!A85</f>
        <v>0</v>
      </c>
      <c r="B61" s="303">
        <f>'Table 5-A| Primary MPTE'!B85</f>
        <v>0</v>
      </c>
      <c r="C61" s="304"/>
      <c r="D61" s="305">
        <f>'Table 5-A| Primary MPTE'!E85</f>
        <v>0</v>
      </c>
      <c r="E61" s="304"/>
      <c r="F61" s="305">
        <f>'Table 5-A| Primary MPTE'!D85</f>
        <v>0</v>
      </c>
      <c r="G61" s="304"/>
      <c r="H61" s="433"/>
      <c r="I61" s="304"/>
      <c r="J61" s="304"/>
      <c r="K61" s="654">
        <f>IFERROR(VLOOKUP(I61,'Emission Controls'!$A$3:$B$16,2,),0)</f>
        <v>0</v>
      </c>
      <c r="L61" s="48" t="str">
        <f t="shared" si="3"/>
        <v/>
      </c>
    </row>
    <row r="62" spans="1:12" ht="18" customHeight="1" x14ac:dyDescent="0.25">
      <c r="A62" s="302">
        <f>'Table 5-A| Primary MPTE'!A86</f>
        <v>0</v>
      </c>
      <c r="B62" s="303">
        <f>'Table 5-A| Primary MPTE'!B86</f>
        <v>0</v>
      </c>
      <c r="C62" s="304"/>
      <c r="D62" s="305">
        <f>'Table 5-A| Primary MPTE'!E86</f>
        <v>0</v>
      </c>
      <c r="E62" s="304"/>
      <c r="F62" s="305">
        <f>'Table 5-A| Primary MPTE'!D86</f>
        <v>0</v>
      </c>
      <c r="G62" s="304"/>
      <c r="H62" s="433"/>
      <c r="I62" s="304"/>
      <c r="J62" s="304"/>
      <c r="K62" s="654">
        <f>IFERROR(VLOOKUP(I62,'Emission Controls'!$A$3:$B$16,2,),0)</f>
        <v>0</v>
      </c>
      <c r="L62" s="48" t="str">
        <f t="shared" si="3"/>
        <v/>
      </c>
    </row>
    <row r="63" spans="1:12" ht="18" customHeight="1" x14ac:dyDescent="0.25">
      <c r="A63" s="302">
        <f>'Table 5-A| Primary MPTE'!A87</f>
        <v>0</v>
      </c>
      <c r="B63" s="303">
        <f>'Table 5-A| Primary MPTE'!B87</f>
        <v>0</v>
      </c>
      <c r="C63" s="304"/>
      <c r="D63" s="305">
        <f>'Table 5-A| Primary MPTE'!E87</f>
        <v>0</v>
      </c>
      <c r="E63" s="304"/>
      <c r="F63" s="305">
        <f>'Table 5-A| Primary MPTE'!D87</f>
        <v>0</v>
      </c>
      <c r="G63" s="304"/>
      <c r="H63" s="433"/>
      <c r="I63" s="304"/>
      <c r="J63" s="304"/>
      <c r="K63" s="654">
        <f>IFERROR(VLOOKUP(I63,'Emission Controls'!$A$3:$B$16,2,),0)</f>
        <v>0</v>
      </c>
      <c r="L63" s="48" t="str">
        <f t="shared" si="3"/>
        <v/>
      </c>
    </row>
    <row r="64" spans="1:12" ht="18" customHeight="1" x14ac:dyDescent="0.25">
      <c r="A64" s="302">
        <f>'Table 5-A| Primary MPTE'!A88</f>
        <v>0</v>
      </c>
      <c r="B64" s="303">
        <f>'Table 5-A| Primary MPTE'!B88</f>
        <v>0</v>
      </c>
      <c r="C64" s="304"/>
      <c r="D64" s="305">
        <f>'Table 5-A| Primary MPTE'!E88</f>
        <v>0</v>
      </c>
      <c r="E64" s="304"/>
      <c r="F64" s="305">
        <f>'Table 5-A| Primary MPTE'!D88</f>
        <v>0</v>
      </c>
      <c r="G64" s="304"/>
      <c r="H64" s="433"/>
      <c r="I64" s="304"/>
      <c r="J64" s="304"/>
      <c r="K64" s="654">
        <f>IFERROR(VLOOKUP(I64,'Emission Controls'!$A$3:$B$16,2,),0)</f>
        <v>0</v>
      </c>
      <c r="L64" s="48" t="str">
        <f t="shared" si="3"/>
        <v/>
      </c>
    </row>
    <row r="65" spans="1:12" ht="18" customHeight="1" x14ac:dyDescent="0.25">
      <c r="A65" s="302">
        <f>'Table 5-A| Primary MPTE'!A89</f>
        <v>0</v>
      </c>
      <c r="B65" s="303">
        <f>'Table 5-A| Primary MPTE'!B89</f>
        <v>0</v>
      </c>
      <c r="C65" s="304"/>
      <c r="D65" s="305">
        <f>'Table 5-A| Primary MPTE'!E89</f>
        <v>0</v>
      </c>
      <c r="E65" s="304"/>
      <c r="F65" s="305">
        <f>'Table 5-A| Primary MPTE'!D89</f>
        <v>0</v>
      </c>
      <c r="G65" s="304"/>
      <c r="H65" s="433"/>
      <c r="I65" s="304"/>
      <c r="J65" s="304"/>
      <c r="K65" s="654">
        <f>IFERROR(VLOOKUP(I65,'Emission Controls'!$A$3:$B$16,2,),0)</f>
        <v>0</v>
      </c>
      <c r="L65" s="48" t="str">
        <f t="shared" si="3"/>
        <v/>
      </c>
    </row>
    <row r="66" spans="1:12" ht="18" customHeight="1" x14ac:dyDescent="0.25">
      <c r="A66" s="302">
        <f>'Table 5-A| Primary MPTE'!A90</f>
        <v>0</v>
      </c>
      <c r="B66" s="303">
        <f>'Table 5-A| Primary MPTE'!B90</f>
        <v>0</v>
      </c>
      <c r="C66" s="304"/>
      <c r="D66" s="305">
        <f>'Table 5-A| Primary MPTE'!E90</f>
        <v>0</v>
      </c>
      <c r="E66" s="304"/>
      <c r="F66" s="305">
        <f>'Table 5-A| Primary MPTE'!D90</f>
        <v>0</v>
      </c>
      <c r="G66" s="304"/>
      <c r="H66" s="433"/>
      <c r="I66" s="304"/>
      <c r="J66" s="304"/>
      <c r="K66" s="654">
        <f>IFERROR(VLOOKUP(I66,'Emission Controls'!$A$3:$B$16,2,),0)</f>
        <v>0</v>
      </c>
      <c r="L66" s="48" t="str">
        <f t="shared" si="3"/>
        <v/>
      </c>
    </row>
    <row r="67" spans="1:12" ht="18" customHeight="1" x14ac:dyDescent="0.25">
      <c r="A67" s="302">
        <f>'Table 5-A| Primary MPTE'!A91</f>
        <v>0</v>
      </c>
      <c r="B67" s="303">
        <f>'Table 5-A| Primary MPTE'!B91</f>
        <v>0</v>
      </c>
      <c r="C67" s="304"/>
      <c r="D67" s="305">
        <f>'Table 5-A| Primary MPTE'!E91</f>
        <v>0</v>
      </c>
      <c r="E67" s="304"/>
      <c r="F67" s="305">
        <f>'Table 5-A| Primary MPTE'!D91</f>
        <v>0</v>
      </c>
      <c r="G67" s="304"/>
      <c r="H67" s="433"/>
      <c r="I67" s="304"/>
      <c r="J67" s="304"/>
      <c r="K67" s="654">
        <f>IFERROR(VLOOKUP(I67,'Emission Controls'!$A$3:$B$16,2,),0)</f>
        <v>0</v>
      </c>
      <c r="L67" s="48" t="str">
        <f t="shared" si="3"/>
        <v/>
      </c>
    </row>
    <row r="68" spans="1:12" ht="18" customHeight="1" x14ac:dyDescent="0.25">
      <c r="A68" s="302">
        <f>'Table 5-A| Primary MPTE'!A92</f>
        <v>0</v>
      </c>
      <c r="B68" s="303">
        <f>'Table 5-A| Primary MPTE'!B92</f>
        <v>0</v>
      </c>
      <c r="C68" s="304"/>
      <c r="D68" s="305">
        <f>'Table 5-A| Primary MPTE'!E92</f>
        <v>0</v>
      </c>
      <c r="E68" s="304"/>
      <c r="F68" s="305">
        <f>'Table 5-A| Primary MPTE'!D92</f>
        <v>0</v>
      </c>
      <c r="G68" s="304"/>
      <c r="H68" s="433"/>
      <c r="I68" s="304"/>
      <c r="J68" s="304"/>
      <c r="K68" s="654">
        <f>IFERROR(VLOOKUP(I68,'Emission Controls'!$A$3:$B$16,2,),0)</f>
        <v>0</v>
      </c>
      <c r="L68" s="48" t="str">
        <f t="shared" si="3"/>
        <v/>
      </c>
    </row>
    <row r="69" spans="1:12" ht="18" customHeight="1" x14ac:dyDescent="0.25">
      <c r="A69" s="302">
        <f>'Table 5-A| Primary MPTE'!A93</f>
        <v>0</v>
      </c>
      <c r="B69" s="303">
        <f>'Table 5-A| Primary MPTE'!B93</f>
        <v>0</v>
      </c>
      <c r="C69" s="304"/>
      <c r="D69" s="305">
        <f>'Table 5-A| Primary MPTE'!E93</f>
        <v>0</v>
      </c>
      <c r="E69" s="304"/>
      <c r="F69" s="305">
        <f>'Table 5-A| Primary MPTE'!D93</f>
        <v>0</v>
      </c>
      <c r="G69" s="304"/>
      <c r="H69" s="433"/>
      <c r="I69" s="304"/>
      <c r="J69" s="304"/>
      <c r="K69" s="654">
        <f>IFERROR(VLOOKUP(I69,'Emission Controls'!$A$3:$B$16,2,),0)</f>
        <v>0</v>
      </c>
      <c r="L69" s="48" t="str">
        <f t="shared" si="3"/>
        <v/>
      </c>
    </row>
    <row r="70" spans="1:12" ht="18" customHeight="1" x14ac:dyDescent="0.25">
      <c r="A70" s="302">
        <f>'Table 5-A| Primary MPTE'!A94</f>
        <v>0</v>
      </c>
      <c r="B70" s="303">
        <f>'Table 5-A| Primary MPTE'!B94</f>
        <v>0</v>
      </c>
      <c r="C70" s="304"/>
      <c r="D70" s="305">
        <f>'Table 5-A| Primary MPTE'!E94</f>
        <v>0</v>
      </c>
      <c r="E70" s="304"/>
      <c r="F70" s="305">
        <f>'Table 5-A| Primary MPTE'!D94</f>
        <v>0</v>
      </c>
      <c r="G70" s="304"/>
      <c r="H70" s="433"/>
      <c r="I70" s="304"/>
      <c r="J70" s="304"/>
      <c r="K70" s="654">
        <f>IFERROR(VLOOKUP(I70,'Emission Controls'!$A$3:$B$16,2,),0)</f>
        <v>0</v>
      </c>
      <c r="L70" s="48" t="str">
        <f t="shared" si="3"/>
        <v/>
      </c>
    </row>
    <row r="71" spans="1:12" ht="18" customHeight="1" x14ac:dyDescent="0.25">
      <c r="A71" s="302">
        <f>'Table 5-A| Primary MPTE'!A95</f>
        <v>0</v>
      </c>
      <c r="B71" s="303">
        <f>'Table 5-A| Primary MPTE'!B95</f>
        <v>0</v>
      </c>
      <c r="C71" s="304"/>
      <c r="D71" s="305">
        <f>'Table 5-A| Primary MPTE'!E95</f>
        <v>0</v>
      </c>
      <c r="E71" s="304"/>
      <c r="F71" s="305">
        <f>'Table 5-A| Primary MPTE'!D95</f>
        <v>0</v>
      </c>
      <c r="G71" s="304"/>
      <c r="H71" s="433"/>
      <c r="I71" s="304"/>
      <c r="J71" s="304"/>
      <c r="K71" s="654">
        <f>IFERROR(VLOOKUP(I71,'Emission Controls'!$A$3:$B$16,2,),0)</f>
        <v>0</v>
      </c>
      <c r="L71" s="48" t="str">
        <f t="shared" si="3"/>
        <v/>
      </c>
    </row>
    <row r="72" spans="1:12" ht="18" customHeight="1" x14ac:dyDescent="0.25">
      <c r="A72" s="302">
        <f>'Table 5-A| Primary MPTE'!A96</f>
        <v>0</v>
      </c>
      <c r="B72" s="303">
        <f>'Table 5-A| Primary MPTE'!B96</f>
        <v>0</v>
      </c>
      <c r="C72" s="304"/>
      <c r="D72" s="305">
        <f>'Table 5-A| Primary MPTE'!E96</f>
        <v>0</v>
      </c>
      <c r="E72" s="304"/>
      <c r="F72" s="305">
        <f>'Table 5-A| Primary MPTE'!D96</f>
        <v>0</v>
      </c>
      <c r="G72" s="304"/>
      <c r="H72" s="433"/>
      <c r="I72" s="304"/>
      <c r="J72" s="304"/>
      <c r="K72" s="654">
        <f>IFERROR(VLOOKUP(I72,'Emission Controls'!$A$3:$B$16,2,),0)</f>
        <v>0</v>
      </c>
      <c r="L72" s="48" t="str">
        <f t="shared" si="3"/>
        <v/>
      </c>
    </row>
    <row r="73" spans="1:12" ht="18" customHeight="1" x14ac:dyDescent="0.25">
      <c r="A73" s="302">
        <f>'Table 5-A| Primary MPTE'!A97</f>
        <v>0</v>
      </c>
      <c r="B73" s="303">
        <f>'Table 5-A| Primary MPTE'!B97</f>
        <v>0</v>
      </c>
      <c r="C73" s="304"/>
      <c r="D73" s="305">
        <f>'Table 5-A| Primary MPTE'!E97</f>
        <v>0</v>
      </c>
      <c r="E73" s="304"/>
      <c r="F73" s="305">
        <f>'Table 5-A| Primary MPTE'!D97</f>
        <v>0</v>
      </c>
      <c r="G73" s="304"/>
      <c r="H73" s="433"/>
      <c r="I73" s="304"/>
      <c r="J73" s="304"/>
      <c r="K73" s="654">
        <f>IFERROR(VLOOKUP(I73,'Emission Controls'!$A$3:$B$16,2,),0)</f>
        <v>0</v>
      </c>
      <c r="L73" s="48" t="str">
        <f t="shared" si="3"/>
        <v/>
      </c>
    </row>
    <row r="74" spans="1:12" ht="18" customHeight="1" x14ac:dyDescent="0.25">
      <c r="A74" s="302">
        <f>'Table 5-A| Primary MPTE'!A98</f>
        <v>0</v>
      </c>
      <c r="B74" s="303">
        <f>'Table 5-A| Primary MPTE'!B98</f>
        <v>0</v>
      </c>
      <c r="C74" s="304"/>
      <c r="D74" s="305">
        <f>'Table 5-A| Primary MPTE'!E98</f>
        <v>0</v>
      </c>
      <c r="E74" s="304"/>
      <c r="F74" s="305">
        <f>'Table 5-A| Primary MPTE'!D98</f>
        <v>0</v>
      </c>
      <c r="G74" s="304"/>
      <c r="H74" s="433"/>
      <c r="I74" s="304"/>
      <c r="J74" s="304"/>
      <c r="K74" s="654">
        <f>IFERROR(VLOOKUP(I74,'Emission Controls'!$A$3:$B$16,2,),0)</f>
        <v>0</v>
      </c>
      <c r="L74" s="48" t="str">
        <f t="shared" si="3"/>
        <v/>
      </c>
    </row>
    <row r="75" spans="1:12" ht="18" customHeight="1" x14ac:dyDescent="0.25">
      <c r="A75" s="302">
        <f>'Table 5-A| Primary MPTE'!A99</f>
        <v>0</v>
      </c>
      <c r="B75" s="303">
        <f>'Table 5-A| Primary MPTE'!B99</f>
        <v>0</v>
      </c>
      <c r="C75" s="304"/>
      <c r="D75" s="305">
        <f>'Table 5-A| Primary MPTE'!E99</f>
        <v>0</v>
      </c>
      <c r="E75" s="304"/>
      <c r="F75" s="305">
        <f>'Table 5-A| Primary MPTE'!D99</f>
        <v>0</v>
      </c>
      <c r="G75" s="304"/>
      <c r="H75" s="433"/>
      <c r="I75" s="304"/>
      <c r="J75" s="304"/>
      <c r="K75" s="654">
        <f>IFERROR(VLOOKUP(I75,'Emission Controls'!$A$3:$B$16,2,),0)</f>
        <v>0</v>
      </c>
      <c r="L75" s="48" t="str">
        <f t="shared" si="3"/>
        <v/>
      </c>
    </row>
    <row r="76" spans="1:12" ht="18" customHeight="1" x14ac:dyDescent="0.25">
      <c r="A76" s="302">
        <f>'Table 5-A| Primary MPTE'!A100</f>
        <v>0</v>
      </c>
      <c r="B76" s="303">
        <f>'Table 5-A| Primary MPTE'!B100</f>
        <v>0</v>
      </c>
      <c r="C76" s="304"/>
      <c r="D76" s="305">
        <f>'Table 5-A| Primary MPTE'!E100</f>
        <v>0</v>
      </c>
      <c r="E76" s="304"/>
      <c r="F76" s="305">
        <f>'Table 5-A| Primary MPTE'!D100</f>
        <v>0</v>
      </c>
      <c r="G76" s="304"/>
      <c r="H76" s="433"/>
      <c r="I76" s="304"/>
      <c r="J76" s="304"/>
      <c r="K76" s="654">
        <f>IFERROR(VLOOKUP(I76,'Emission Controls'!$A$3:$B$16,2,),0)</f>
        <v>0</v>
      </c>
      <c r="L76" s="48" t="str">
        <f t="shared" si="3"/>
        <v/>
      </c>
    </row>
    <row r="77" spans="1:12" ht="18" customHeight="1" x14ac:dyDescent="0.25">
      <c r="A77" s="302">
        <f>'Table 5-A| Primary MPTE'!A101</f>
        <v>0</v>
      </c>
      <c r="B77" s="303">
        <f>'Table 5-A| Primary MPTE'!B101</f>
        <v>0</v>
      </c>
      <c r="C77" s="304"/>
      <c r="D77" s="305">
        <f>'Table 5-A| Primary MPTE'!E101</f>
        <v>0</v>
      </c>
      <c r="E77" s="304"/>
      <c r="F77" s="305">
        <f>'Table 5-A| Primary MPTE'!D101</f>
        <v>0</v>
      </c>
      <c r="G77" s="304"/>
      <c r="H77" s="433"/>
      <c r="I77" s="304"/>
      <c r="J77" s="304"/>
      <c r="K77" s="654">
        <f>IFERROR(VLOOKUP(I77,'Emission Controls'!$A$3:$B$16,2,),0)</f>
        <v>0</v>
      </c>
      <c r="L77" s="48" t="str">
        <f t="shared" si="3"/>
        <v/>
      </c>
    </row>
    <row r="78" spans="1:12" ht="18" customHeight="1" x14ac:dyDescent="0.25">
      <c r="A78" s="302">
        <f>'Table 5-A| Primary MPTE'!A102</f>
        <v>0</v>
      </c>
      <c r="B78" s="303">
        <f>'Table 5-A| Primary MPTE'!B102</f>
        <v>0</v>
      </c>
      <c r="C78" s="304"/>
      <c r="D78" s="305">
        <f>'Table 5-A| Primary MPTE'!E102</f>
        <v>0</v>
      </c>
      <c r="E78" s="304"/>
      <c r="F78" s="305">
        <f>'Table 5-A| Primary MPTE'!D102</f>
        <v>0</v>
      </c>
      <c r="G78" s="304"/>
      <c r="H78" s="433"/>
      <c r="I78" s="304"/>
      <c r="J78" s="304"/>
      <c r="K78" s="654">
        <f>IFERROR(VLOOKUP(I78,'Emission Controls'!$A$3:$B$16,2,),0)</f>
        <v>0</v>
      </c>
      <c r="L78" s="48" t="str">
        <f t="shared" si="3"/>
        <v/>
      </c>
    </row>
    <row r="79" spans="1:12" ht="18" customHeight="1" x14ac:dyDescent="0.25">
      <c r="A79" s="302">
        <f>'Table 5-A| Primary MPTE'!A103</f>
        <v>0</v>
      </c>
      <c r="B79" s="303">
        <f>'Table 5-A| Primary MPTE'!B103</f>
        <v>0</v>
      </c>
      <c r="C79" s="304"/>
      <c r="D79" s="305">
        <f>'Table 5-A| Primary MPTE'!E103</f>
        <v>0</v>
      </c>
      <c r="E79" s="304"/>
      <c r="F79" s="305">
        <f>'Table 5-A| Primary MPTE'!D103</f>
        <v>0</v>
      </c>
      <c r="G79" s="304"/>
      <c r="H79" s="433"/>
      <c r="I79" s="304"/>
      <c r="J79" s="304"/>
      <c r="K79" s="654">
        <f>IFERROR(VLOOKUP(I79,'Emission Controls'!$A$3:$B$16,2,),0)</f>
        <v>0</v>
      </c>
      <c r="L79" s="48" t="str">
        <f t="shared" si="3"/>
        <v/>
      </c>
    </row>
    <row r="80" spans="1:12" ht="18" customHeight="1" x14ac:dyDescent="0.25">
      <c r="A80" s="302">
        <f>'Table 5-A| Primary MPTE'!A104</f>
        <v>0</v>
      </c>
      <c r="B80" s="303">
        <f>'Table 5-A| Primary MPTE'!B104</f>
        <v>0</v>
      </c>
      <c r="C80" s="304"/>
      <c r="D80" s="305">
        <f>'Table 5-A| Primary MPTE'!E104</f>
        <v>0</v>
      </c>
      <c r="E80" s="304"/>
      <c r="F80" s="305">
        <f>'Table 5-A| Primary MPTE'!D104</f>
        <v>0</v>
      </c>
      <c r="G80" s="304"/>
      <c r="H80" s="433"/>
      <c r="I80" s="304"/>
      <c r="J80" s="304"/>
      <c r="K80" s="654">
        <f>IFERROR(VLOOKUP(I80,'Emission Controls'!$A$3:$B$16,2,),0)</f>
        <v>0</v>
      </c>
      <c r="L80" s="48" t="str">
        <f t="shared" si="3"/>
        <v/>
      </c>
    </row>
    <row r="81" spans="1:12" ht="18" customHeight="1" x14ac:dyDescent="0.25">
      <c r="A81" s="302">
        <f>'Table 5-A| Primary MPTE'!A105</f>
        <v>0</v>
      </c>
      <c r="B81" s="303">
        <f>'Table 5-A| Primary MPTE'!B105</f>
        <v>0</v>
      </c>
      <c r="C81" s="304"/>
      <c r="D81" s="305">
        <f>'Table 5-A| Primary MPTE'!E105</f>
        <v>0</v>
      </c>
      <c r="E81" s="304"/>
      <c r="F81" s="305">
        <f>'Table 5-A| Primary MPTE'!D105</f>
        <v>0</v>
      </c>
      <c r="G81" s="304"/>
      <c r="H81" s="433"/>
      <c r="I81" s="304"/>
      <c r="J81" s="304"/>
      <c r="K81" s="654">
        <f>IFERROR(VLOOKUP(I81,'Emission Controls'!$A$3:$B$16,2,),0)</f>
        <v>0</v>
      </c>
      <c r="L81" s="48" t="str">
        <f t="shared" si="3"/>
        <v/>
      </c>
    </row>
    <row r="82" spans="1:12" ht="18" customHeight="1" x14ac:dyDescent="0.25">
      <c r="A82" s="302">
        <f>'Table 5-A| Primary MPTE'!A106</f>
        <v>0</v>
      </c>
      <c r="B82" s="303">
        <f>'Table 5-A| Primary MPTE'!B106</f>
        <v>0</v>
      </c>
      <c r="C82" s="304"/>
      <c r="D82" s="305">
        <f>'Table 5-A| Primary MPTE'!E106</f>
        <v>0</v>
      </c>
      <c r="E82" s="304"/>
      <c r="F82" s="305">
        <f>'Table 5-A| Primary MPTE'!D106</f>
        <v>0</v>
      </c>
      <c r="G82" s="304"/>
      <c r="H82" s="433"/>
      <c r="I82" s="304"/>
      <c r="J82" s="304"/>
      <c r="K82" s="654">
        <f>IFERROR(VLOOKUP(I82,'Emission Controls'!$A$3:$B$16,2,),0)</f>
        <v>0</v>
      </c>
      <c r="L82" s="48" t="str">
        <f t="shared" si="3"/>
        <v/>
      </c>
    </row>
    <row r="83" spans="1:12" ht="18" customHeight="1" x14ac:dyDescent="0.25">
      <c r="A83" s="302">
        <f>'Table 5-A| Primary MPTE'!A107</f>
        <v>0</v>
      </c>
      <c r="B83" s="303">
        <f>'Table 5-A| Primary MPTE'!B107</f>
        <v>0</v>
      </c>
      <c r="C83" s="304"/>
      <c r="D83" s="305">
        <f>'Table 5-A| Primary MPTE'!E107</f>
        <v>0</v>
      </c>
      <c r="E83" s="304"/>
      <c r="F83" s="305">
        <f>'Table 5-A| Primary MPTE'!D107</f>
        <v>0</v>
      </c>
      <c r="G83" s="304"/>
      <c r="H83" s="433"/>
      <c r="I83" s="304"/>
      <c r="J83" s="304"/>
      <c r="K83" s="654">
        <f>IFERROR(VLOOKUP(I83,'Emission Controls'!$A$3:$B$16,2,),0)</f>
        <v>0</v>
      </c>
      <c r="L83" s="48" t="str">
        <f t="shared" si="3"/>
        <v/>
      </c>
    </row>
    <row r="84" spans="1:12" ht="18" customHeight="1" thickBot="1" x14ac:dyDescent="0.3">
      <c r="A84" s="309">
        <f>'Table 5-A| Primary MPTE'!A108</f>
        <v>0</v>
      </c>
      <c r="B84" s="310">
        <f>'Table 5-A| Primary MPTE'!B108</f>
        <v>0</v>
      </c>
      <c r="C84" s="311"/>
      <c r="D84" s="312">
        <f>'Table 5-A| Primary MPTE'!E108</f>
        <v>0</v>
      </c>
      <c r="E84" s="311"/>
      <c r="F84" s="312">
        <f>'Table 5-A| Primary MPTE'!D108</f>
        <v>0</v>
      </c>
      <c r="G84" s="311"/>
      <c r="H84" s="434"/>
      <c r="I84" s="311"/>
      <c r="J84" s="311"/>
      <c r="K84" s="654">
        <f>IFERROR(VLOOKUP(I84,'Emission Controls'!$A$3:$B$16,2,),0)</f>
        <v>0</v>
      </c>
      <c r="L84" s="48" t="str">
        <f t="shared" si="3"/>
        <v/>
      </c>
    </row>
    <row r="85" spans="1:12" ht="18" customHeight="1" x14ac:dyDescent="0.25"/>
    <row r="86" spans="1:12" ht="18" customHeight="1" x14ac:dyDescent="0.25"/>
    <row r="87" spans="1:12" ht="18" customHeight="1" x14ac:dyDescent="0.25"/>
    <row r="88" spans="1:12" ht="18" customHeight="1" x14ac:dyDescent="0.25"/>
    <row r="89" spans="1:12" ht="18" customHeight="1" x14ac:dyDescent="0.25"/>
    <row r="90" spans="1:12" ht="18" customHeight="1" x14ac:dyDescent="0.25"/>
    <row r="91" spans="1:12" ht="18" customHeight="1" x14ac:dyDescent="0.25"/>
    <row r="92" spans="1:12" ht="18" customHeight="1" x14ac:dyDescent="0.25"/>
    <row r="93" spans="1:12" ht="18" customHeight="1" x14ac:dyDescent="0.25"/>
    <row r="94" spans="1:12" ht="18" customHeight="1" x14ac:dyDescent="0.25"/>
    <row r="95" spans="1:12" ht="18" customHeight="1" x14ac:dyDescent="0.25"/>
    <row r="96" spans="1:12"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sheetData>
  <sheetProtection algorithmName="SHA-512" hashValue="kXNQ0M0g3/LEx7ixl9zUu/22X+wkjj9LiwNvam7W36SDGgg2T3eZiEnQMgo+9YOnGzJnAxhuAPnVqBDYlrl/JQ==" saltValue="i+4SNCf/kSEp1etiFj5L+g==" spinCount="100000" sheet="1" objects="1" scenarios="1"/>
  <mergeCells count="22">
    <mergeCell ref="A45:J45"/>
    <mergeCell ref="A51:J51"/>
    <mergeCell ref="A20:J20"/>
    <mergeCell ref="B11:J11"/>
    <mergeCell ref="A13:J13"/>
    <mergeCell ref="A14:J14"/>
    <mergeCell ref="A17:J17"/>
    <mergeCell ref="A36:J36"/>
    <mergeCell ref="A38:J38"/>
    <mergeCell ref="A18:I18"/>
    <mergeCell ref="A1:J1"/>
    <mergeCell ref="B10:J10"/>
    <mergeCell ref="B9:J9"/>
    <mergeCell ref="A15:J15"/>
    <mergeCell ref="A16:J16"/>
    <mergeCell ref="B3:J3"/>
    <mergeCell ref="A2:J2"/>
    <mergeCell ref="B8:J8"/>
    <mergeCell ref="B7:J7"/>
    <mergeCell ref="B6:J6"/>
    <mergeCell ref="B5:J5"/>
    <mergeCell ref="B4:J4"/>
  </mergeCells>
  <conditionalFormatting sqref="A21:J84">
    <cfRule type="expression" dxfId="96" priority="5" stopIfTrue="1">
      <formula>OR($A21=0,$B21=0)</formula>
    </cfRule>
  </conditionalFormatting>
  <conditionalFormatting sqref="C21:C35 E21:E35 G21:G35 C39:C44 E39:E44 G39:G44 C46:C50 E46:E50 G46:G50 C52:C84 E52:E84 G52:G84">
    <cfRule type="expression" dxfId="95" priority="6">
      <formula>AND(NOT($A21=0),ISBLANK(C21))</formula>
    </cfRule>
  </conditionalFormatting>
  <conditionalFormatting sqref="E21:E35 E39:E44 E46:E50 E52:E84">
    <cfRule type="expression" dxfId="94" priority="4">
      <formula>AND(NOT($A21=0),$C21="No")</formula>
    </cfRule>
  </conditionalFormatting>
  <conditionalFormatting sqref="H21:J35 H39:J44 H46:J50 H52:J84">
    <cfRule type="expression" dxfId="93" priority="1" stopIfTrue="1">
      <formula>AND(NOT($A21=0),$G21="No")</formula>
    </cfRule>
    <cfRule type="expression" dxfId="92" priority="3">
      <formula>AND(NOT($A21=0),$G21="Yes",ISBLANK(H21))</formula>
    </cfRule>
  </conditionalFormatting>
  <conditionalFormatting sqref="L21:L84">
    <cfRule type="expression" dxfId="91" priority="2">
      <formula>NOT(L21="")</formula>
    </cfRule>
  </conditionalFormatting>
  <dataValidations xWindow="683" yWindow="717" count="3">
    <dataValidation type="list" errorStyle="warning" showInputMessage="1" showErrorMessage="1" errorTitle="Invalid Entry" error="Must select either &quot;Yes&quot; or &quot;No&quot;!" promptTitle="Emission Controls" prompt="Select &quot;Yes&quot; if you are willing to apply emission controls on this emission unit, and select &quot;No&quot; if you are not." sqref="G21:G35 G52:G84 G39:G44 G46:G50" xr:uid="{00000000-0002-0000-0E00-000000000000}">
      <formula1>$U$20:$U$21</formula1>
    </dataValidation>
    <dataValidation type="list" errorStyle="warning" showInputMessage="1" showErrorMessage="1" errorTitle="Invalid Entry" error="Must select either &quot;Yes&quot; or &quot;No&quot;!" promptTitle="Throughput Limit" prompt="Select &quot;Yes&quot; if you are willing to accept a throughput limit on this emission unit, and select &quot;No&quot; if you are not." sqref="C21:C35 C52:C84 C39:C44 C46:C50" xr:uid="{00000000-0002-0000-0E00-000001000000}">
      <formula1>$T$20:$T$21</formula1>
    </dataValidation>
    <dataValidation type="list" errorStyle="warning" allowBlank="1" showInputMessage="1" showErrorMessage="1" promptTitle="Control Device" prompt="Select the applicable control device.  If device is not included in list, select 'Other'." sqref="I21:I35 I52:I84 I39:I44 I46:I50" xr:uid="{00000000-0002-0000-0E00-000002000000}">
      <formula1>$V$20:$V$33</formula1>
    </dataValidation>
  </dataValidations>
  <printOptions horizontalCentered="1"/>
  <pageMargins left="0.5" right="0.5" top="0.5" bottom="0.5" header="0.3" footer="0.3"/>
  <pageSetup scale="73" fitToHeight="0" orientation="landscape" r:id="rId1"/>
  <headerFooter>
    <oddFooter>&amp;L&amp;A&amp;RPage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2060"/>
    <pageSetUpPr fitToPage="1"/>
  </sheetPr>
  <dimension ref="A1:Y57"/>
  <sheetViews>
    <sheetView showGridLines="0" zoomScaleNormal="100" workbookViewId="0">
      <selection sqref="A1:M1"/>
    </sheetView>
  </sheetViews>
  <sheetFormatPr defaultRowHeight="14.25" x14ac:dyDescent="0.25"/>
  <cols>
    <col min="1" max="1" width="10.28515625" style="131" customWidth="1"/>
    <col min="2" max="3" width="16.7109375" style="48" customWidth="1"/>
    <col min="4" max="4" width="12.7109375" style="48" customWidth="1"/>
    <col min="5" max="14" width="11.7109375" style="48" customWidth="1"/>
    <col min="15" max="15" width="3.7109375" style="48" customWidth="1"/>
    <col min="16" max="16384" width="9.140625" style="48"/>
  </cols>
  <sheetData>
    <row r="1" spans="1:14" s="69" customFormat="1" ht="26.25" customHeight="1" thickBot="1" x14ac:dyDescent="0.3">
      <c r="A1" s="1255" t="s">
        <v>1800</v>
      </c>
      <c r="B1" s="1255"/>
      <c r="C1" s="1255"/>
      <c r="D1" s="1255"/>
      <c r="E1" s="1255"/>
      <c r="F1" s="1255"/>
      <c r="G1" s="1255"/>
      <c r="H1" s="1255"/>
      <c r="I1" s="1255"/>
      <c r="J1" s="1255"/>
      <c r="K1" s="1255"/>
      <c r="L1" s="1255"/>
      <c r="M1" s="1255"/>
    </row>
    <row r="2" spans="1:14" s="476" customFormat="1" ht="42.75" customHeight="1" x14ac:dyDescent="0.25">
      <c r="A2" s="1454" t="s">
        <v>2068</v>
      </c>
      <c r="B2" s="1454"/>
      <c r="C2" s="1454"/>
      <c r="D2" s="1454"/>
      <c r="E2" s="1454"/>
      <c r="F2" s="1454"/>
      <c r="G2" s="1454"/>
      <c r="H2" s="1454"/>
      <c r="I2" s="1454"/>
      <c r="J2" s="1454"/>
      <c r="K2" s="1454"/>
      <c r="L2" s="1454"/>
      <c r="M2" s="1454"/>
      <c r="N2" s="1454"/>
    </row>
    <row r="3" spans="1:14" s="160" customFormat="1" ht="54.95" customHeight="1" x14ac:dyDescent="0.25">
      <c r="A3" s="1256" t="s">
        <v>1810</v>
      </c>
      <c r="B3" s="1256"/>
      <c r="C3" s="1256"/>
      <c r="D3" s="1256"/>
      <c r="E3" s="1256"/>
      <c r="F3" s="1256"/>
      <c r="G3" s="1256"/>
      <c r="H3" s="1256"/>
      <c r="I3" s="1256"/>
      <c r="J3" s="1256"/>
      <c r="K3" s="1256"/>
      <c r="L3" s="1256"/>
      <c r="M3" s="1256"/>
      <c r="N3" s="1256"/>
    </row>
    <row r="4" spans="1:14" s="168" customFormat="1" ht="54.95" customHeight="1" x14ac:dyDescent="0.25">
      <c r="A4" s="470">
        <v>1</v>
      </c>
      <c r="B4" s="1392" t="s">
        <v>1807</v>
      </c>
      <c r="C4" s="1392"/>
      <c r="D4" s="1392"/>
      <c r="E4" s="1392"/>
      <c r="F4" s="1392"/>
      <c r="G4" s="1392"/>
      <c r="H4" s="1392"/>
      <c r="I4" s="1392"/>
      <c r="J4" s="1392"/>
      <c r="K4" s="1392"/>
      <c r="L4" s="1392"/>
      <c r="M4" s="1392"/>
      <c r="N4" s="1392"/>
    </row>
    <row r="5" spans="1:14" s="168" customFormat="1" ht="54.95" customHeight="1" x14ac:dyDescent="0.25">
      <c r="A5" s="470">
        <v>2</v>
      </c>
      <c r="B5" s="1392" t="s">
        <v>1806</v>
      </c>
      <c r="C5" s="1392"/>
      <c r="D5" s="1392"/>
      <c r="E5" s="1392"/>
      <c r="F5" s="1392"/>
      <c r="G5" s="1392"/>
      <c r="H5" s="1392"/>
      <c r="I5" s="1392"/>
      <c r="J5" s="1392"/>
      <c r="K5" s="1392"/>
      <c r="L5" s="1392"/>
      <c r="M5" s="1392"/>
      <c r="N5" s="1392"/>
    </row>
    <row r="6" spans="1:14" s="168" customFormat="1" ht="39.950000000000003" customHeight="1" x14ac:dyDescent="0.25">
      <c r="A6" s="470">
        <v>3</v>
      </c>
      <c r="B6" s="1392" t="s">
        <v>1808</v>
      </c>
      <c r="C6" s="1392"/>
      <c r="D6" s="1392"/>
      <c r="E6" s="1392"/>
      <c r="F6" s="1392"/>
      <c r="G6" s="1392"/>
      <c r="H6" s="1392"/>
      <c r="I6" s="1392"/>
      <c r="J6" s="1392"/>
      <c r="K6" s="1392"/>
      <c r="L6" s="1392"/>
      <c r="M6" s="1392"/>
      <c r="N6" s="1392"/>
    </row>
    <row r="7" spans="1:14" s="458" customFormat="1" ht="39.950000000000003" customHeight="1" x14ac:dyDescent="0.25">
      <c r="A7" s="470">
        <v>4</v>
      </c>
      <c r="B7" s="1392" t="s">
        <v>1809</v>
      </c>
      <c r="C7" s="1392"/>
      <c r="D7" s="1392"/>
      <c r="E7" s="1392"/>
      <c r="F7" s="1392"/>
      <c r="G7" s="1392"/>
      <c r="H7" s="1392"/>
      <c r="I7" s="1392"/>
      <c r="J7" s="1392"/>
      <c r="K7" s="1392"/>
      <c r="L7" s="1392"/>
      <c r="M7" s="1392"/>
      <c r="N7" s="1392"/>
    </row>
    <row r="8" spans="1:14" s="168" customFormat="1" ht="24.95" customHeight="1" thickBot="1" x14ac:dyDescent="0.3">
      <c r="A8" s="470">
        <v>5</v>
      </c>
      <c r="B8" s="1392" t="s">
        <v>1805</v>
      </c>
      <c r="C8" s="1392"/>
      <c r="D8" s="1392"/>
      <c r="E8" s="1392"/>
      <c r="F8" s="1392"/>
      <c r="G8" s="1392"/>
      <c r="H8" s="1392"/>
      <c r="I8" s="1392"/>
      <c r="J8" s="1392"/>
      <c r="K8" s="1392"/>
      <c r="L8" s="1392"/>
      <c r="M8" s="1392"/>
      <c r="N8" s="1392"/>
    </row>
    <row r="9" spans="1:14" ht="60.75" thickBot="1" x14ac:dyDescent="0.3">
      <c r="A9" s="107" t="s">
        <v>1797</v>
      </c>
      <c r="B9" s="108" t="s">
        <v>271</v>
      </c>
      <c r="C9" s="108" t="s">
        <v>1804</v>
      </c>
      <c r="D9" s="108" t="s">
        <v>1803</v>
      </c>
      <c r="E9" s="109" t="s">
        <v>26</v>
      </c>
      <c r="F9" s="110" t="s">
        <v>30</v>
      </c>
      <c r="G9" s="110" t="s">
        <v>3</v>
      </c>
      <c r="H9" s="110" t="s">
        <v>4</v>
      </c>
      <c r="I9" s="110" t="s">
        <v>0</v>
      </c>
      <c r="J9" s="110" t="s">
        <v>5</v>
      </c>
      <c r="K9" s="110" t="s">
        <v>2348</v>
      </c>
      <c r="L9" s="110" t="s">
        <v>24</v>
      </c>
      <c r="M9" s="110" t="s">
        <v>1799</v>
      </c>
      <c r="N9" s="111" t="s">
        <v>25</v>
      </c>
    </row>
    <row r="10" spans="1:14" ht="18" customHeight="1" x14ac:dyDescent="0.25">
      <c r="A10" s="389" t="s">
        <v>2070</v>
      </c>
      <c r="B10" s="245">
        <v>20100102</v>
      </c>
      <c r="C10" s="315" t="s">
        <v>73</v>
      </c>
      <c r="D10" s="246" t="s">
        <v>75</v>
      </c>
      <c r="E10" s="468">
        <v>0</v>
      </c>
      <c r="F10" s="316">
        <v>0</v>
      </c>
      <c r="G10" s="316">
        <v>40000</v>
      </c>
      <c r="H10" s="316">
        <v>0</v>
      </c>
      <c r="I10" s="316">
        <v>0</v>
      </c>
      <c r="J10" s="316">
        <v>0</v>
      </c>
      <c r="K10" s="316">
        <v>0</v>
      </c>
      <c r="L10" s="316">
        <v>0</v>
      </c>
      <c r="M10" s="316">
        <v>0</v>
      </c>
      <c r="N10" s="612">
        <v>0</v>
      </c>
    </row>
    <row r="11" spans="1:14" ht="18" customHeight="1" x14ac:dyDescent="0.25">
      <c r="A11" s="390" t="s">
        <v>2071</v>
      </c>
      <c r="B11" s="248">
        <v>10200602</v>
      </c>
      <c r="C11" s="463" t="s">
        <v>73</v>
      </c>
      <c r="D11" s="247" t="s">
        <v>73</v>
      </c>
      <c r="E11" s="613">
        <v>0</v>
      </c>
      <c r="F11" s="614">
        <v>0</v>
      </c>
      <c r="G11" s="614">
        <v>0</v>
      </c>
      <c r="H11" s="614">
        <v>0</v>
      </c>
      <c r="I11" s="614">
        <v>0</v>
      </c>
      <c r="J11" s="614">
        <v>0</v>
      </c>
      <c r="K11" s="614">
        <v>0</v>
      </c>
      <c r="L11" s="614">
        <v>0</v>
      </c>
      <c r="M11" s="614">
        <v>0</v>
      </c>
      <c r="N11" s="615">
        <v>0</v>
      </c>
    </row>
    <row r="12" spans="1:14" ht="18" customHeight="1" x14ac:dyDescent="0.25">
      <c r="A12" s="390" t="s">
        <v>2072</v>
      </c>
      <c r="B12" s="248">
        <v>10200501</v>
      </c>
      <c r="C12" s="463" t="s">
        <v>73</v>
      </c>
      <c r="D12" s="247" t="s">
        <v>73</v>
      </c>
      <c r="E12" s="469">
        <v>0</v>
      </c>
      <c r="F12" s="321">
        <v>0</v>
      </c>
      <c r="G12" s="321">
        <v>0</v>
      </c>
      <c r="H12" s="321">
        <v>0</v>
      </c>
      <c r="I12" s="321">
        <v>0</v>
      </c>
      <c r="J12" s="321">
        <v>0</v>
      </c>
      <c r="K12" s="321">
        <v>0</v>
      </c>
      <c r="L12" s="321">
        <v>0</v>
      </c>
      <c r="M12" s="321">
        <v>0</v>
      </c>
      <c r="N12" s="322">
        <v>0</v>
      </c>
    </row>
    <row r="13" spans="1:14" ht="18" customHeight="1" x14ac:dyDescent="0.25">
      <c r="A13" s="390" t="s">
        <v>2073</v>
      </c>
      <c r="B13" s="248">
        <v>40400204</v>
      </c>
      <c r="C13" s="463" t="s">
        <v>73</v>
      </c>
      <c r="D13" s="247" t="s">
        <v>75</v>
      </c>
      <c r="E13" s="469">
        <v>0</v>
      </c>
      <c r="F13" s="321">
        <v>0</v>
      </c>
      <c r="G13" s="321">
        <v>0</v>
      </c>
      <c r="H13" s="321">
        <v>0</v>
      </c>
      <c r="I13" s="321">
        <v>5000</v>
      </c>
      <c r="J13" s="321">
        <v>0</v>
      </c>
      <c r="K13" s="321">
        <v>0</v>
      </c>
      <c r="L13" s="321">
        <v>0</v>
      </c>
      <c r="M13" s="321">
        <v>0</v>
      </c>
      <c r="N13" s="322">
        <v>0</v>
      </c>
    </row>
    <row r="14" spans="1:14" ht="18" customHeight="1" x14ac:dyDescent="0.25">
      <c r="A14" s="390" t="s">
        <v>2074</v>
      </c>
      <c r="B14" s="248">
        <v>40400107</v>
      </c>
      <c r="C14" s="463" t="s">
        <v>73</v>
      </c>
      <c r="D14" s="247" t="s">
        <v>75</v>
      </c>
      <c r="E14" s="469">
        <v>0</v>
      </c>
      <c r="F14" s="321">
        <v>0</v>
      </c>
      <c r="G14" s="321">
        <v>0</v>
      </c>
      <c r="H14" s="321">
        <v>0</v>
      </c>
      <c r="I14" s="321">
        <v>5000</v>
      </c>
      <c r="J14" s="321">
        <v>0</v>
      </c>
      <c r="K14" s="321">
        <v>0</v>
      </c>
      <c r="L14" s="321">
        <v>0</v>
      </c>
      <c r="M14" s="321">
        <v>0</v>
      </c>
      <c r="N14" s="322">
        <v>0</v>
      </c>
    </row>
    <row r="15" spans="1:14" s="68" customFormat="1" ht="30.75" customHeight="1" x14ac:dyDescent="0.25">
      <c r="A15" s="1321" t="s">
        <v>2150</v>
      </c>
      <c r="B15" s="1321"/>
      <c r="C15" s="1321"/>
      <c r="D15" s="1321"/>
      <c r="E15" s="1321"/>
      <c r="F15" s="1321"/>
      <c r="G15" s="1321"/>
      <c r="H15" s="1321"/>
      <c r="I15" s="1321"/>
      <c r="J15" s="1321"/>
      <c r="K15" s="1321"/>
      <c r="L15" s="1321"/>
      <c r="M15" s="1321"/>
      <c r="N15" s="1321"/>
    </row>
    <row r="16" spans="1:14" s="68" customFormat="1" ht="35.1" customHeight="1" thickBot="1" x14ac:dyDescent="0.3">
      <c r="A16" s="1277"/>
      <c r="B16" s="1277"/>
      <c r="C16" s="1277"/>
      <c r="D16" s="1277"/>
      <c r="E16" s="1277"/>
      <c r="F16" s="1277"/>
      <c r="G16" s="1277"/>
      <c r="H16" s="1277"/>
      <c r="I16" s="1277"/>
      <c r="J16" s="1277"/>
      <c r="K16" s="1277"/>
      <c r="L16" s="1277"/>
      <c r="M16" s="1277"/>
      <c r="N16" s="1277"/>
    </row>
    <row r="17" spans="1:25" s="77" customFormat="1" ht="19.5" thickBot="1" x14ac:dyDescent="0.3">
      <c r="A17" s="1211" t="s">
        <v>1422</v>
      </c>
      <c r="B17" s="1211"/>
      <c r="C17" s="1211"/>
      <c r="D17" s="1211"/>
      <c r="E17" s="1211"/>
      <c r="F17" s="1211"/>
      <c r="G17" s="1211"/>
      <c r="H17" s="1211"/>
      <c r="I17" s="1211"/>
      <c r="J17" s="1211"/>
      <c r="K17" s="1211"/>
      <c r="L17" s="1211"/>
      <c r="M17" s="1211"/>
    </row>
    <row r="18" spans="1:25" ht="60" customHeight="1" x14ac:dyDescent="0.25">
      <c r="A18" s="1348"/>
      <c r="B18" s="1348"/>
      <c r="C18" s="1348"/>
      <c r="D18" s="1348"/>
      <c r="E18" s="1348"/>
      <c r="F18" s="1348"/>
      <c r="G18" s="1348"/>
      <c r="H18" s="1348"/>
      <c r="I18" s="1348"/>
      <c r="J18" s="1348"/>
      <c r="K18" s="1348"/>
      <c r="L18" s="1348"/>
      <c r="M18" s="1348"/>
      <c r="N18" s="1348"/>
    </row>
    <row r="19" spans="1:25" ht="24.95" customHeight="1" thickBot="1" x14ac:dyDescent="0.3">
      <c r="A19" s="1003" t="s">
        <v>2066</v>
      </c>
      <c r="B19" s="1003"/>
      <c r="C19" s="1003"/>
      <c r="D19" s="1003"/>
      <c r="E19" s="1003"/>
      <c r="F19" s="1003"/>
      <c r="G19" s="1003"/>
      <c r="H19" s="1003"/>
      <c r="I19" s="1003"/>
      <c r="J19" s="1003"/>
      <c r="K19" s="1003"/>
      <c r="L19" s="1003"/>
      <c r="M19" s="833"/>
      <c r="N19" s="843" t="str">
        <f>"Ver."&amp;" "&amp;TEXT(Introduction!$M$3,"MM/YYYY")</f>
        <v>Ver. 01/2025</v>
      </c>
    </row>
    <row r="20" spans="1:25" ht="30" customHeight="1" thickBot="1" x14ac:dyDescent="0.3">
      <c r="A20" s="1450" t="s">
        <v>2077</v>
      </c>
      <c r="B20" s="1451"/>
      <c r="C20" s="1451"/>
      <c r="D20" s="1451"/>
      <c r="E20" s="1451"/>
      <c r="F20" s="1451"/>
      <c r="G20" s="1451"/>
      <c r="H20" s="1451"/>
      <c r="I20" s="1451"/>
      <c r="J20" s="1451"/>
      <c r="K20" s="1451"/>
      <c r="L20" s="1451"/>
      <c r="M20" s="1451"/>
      <c r="N20" s="1452"/>
    </row>
    <row r="21" spans="1:25" ht="39.950000000000003" customHeight="1" thickBot="1" x14ac:dyDescent="0.3">
      <c r="A21" s="1455" t="s">
        <v>2079</v>
      </c>
      <c r="B21" s="1456"/>
      <c r="C21" s="1456"/>
      <c r="D21" s="1456"/>
      <c r="E21" s="1456"/>
      <c r="F21" s="1456"/>
      <c r="G21" s="1456"/>
      <c r="H21" s="1456"/>
      <c r="I21" s="1456"/>
      <c r="J21" s="1456"/>
      <c r="K21" s="1456"/>
      <c r="L21" s="1456"/>
      <c r="M21" s="1456"/>
      <c r="N21" s="1456"/>
    </row>
    <row r="22" spans="1:25" ht="39.950000000000003" customHeight="1" thickBot="1" x14ac:dyDescent="0.3">
      <c r="A22" s="1462" t="s">
        <v>2076</v>
      </c>
      <c r="B22" s="1463"/>
      <c r="C22" s="1464"/>
      <c r="D22" s="472" t="s">
        <v>1801</v>
      </c>
      <c r="E22" s="803" t="s">
        <v>26</v>
      </c>
      <c r="F22" s="800" t="s">
        <v>30</v>
      </c>
      <c r="G22" s="800" t="s">
        <v>3</v>
      </c>
      <c r="H22" s="800" t="s">
        <v>4</v>
      </c>
      <c r="I22" s="800" t="s">
        <v>0</v>
      </c>
      <c r="J22" s="800" t="s">
        <v>5</v>
      </c>
      <c r="K22" s="800" t="s">
        <v>2348</v>
      </c>
      <c r="L22" s="800" t="s">
        <v>24</v>
      </c>
      <c r="M22" s="800" t="s">
        <v>1799</v>
      </c>
      <c r="N22" s="804" t="s">
        <v>25</v>
      </c>
      <c r="Q22" s="466" t="b">
        <v>0</v>
      </c>
      <c r="R22" s="466" t="b">
        <v>0</v>
      </c>
      <c r="S22" s="48" t="b">
        <f>IF(OR(AND($Q$22=FALSE,$R$22=FALSE),AND($Q$22=TRUE,$R$22=TRUE)),FALSE,TRUE)</f>
        <v>0</v>
      </c>
      <c r="Y22" s="48" t="s">
        <v>75</v>
      </c>
    </row>
    <row r="23" spans="1:25" ht="39.950000000000003" customHeight="1" thickBot="1" x14ac:dyDescent="0.3">
      <c r="A23" s="1465"/>
      <c r="B23" s="1466"/>
      <c r="C23" s="1467"/>
      <c r="D23" s="473" t="s">
        <v>1802</v>
      </c>
      <c r="E23" s="467"/>
      <c r="F23" s="459"/>
      <c r="G23" s="459"/>
      <c r="H23" s="459"/>
      <c r="I23" s="459"/>
      <c r="J23" s="459"/>
      <c r="K23" s="459"/>
      <c r="L23" s="459"/>
      <c r="M23" s="459"/>
      <c r="N23" s="460"/>
      <c r="Y23" s="48" t="s">
        <v>73</v>
      </c>
    </row>
    <row r="24" spans="1:25" ht="15" customHeight="1" thickBot="1" x14ac:dyDescent="0.3">
      <c r="A24" s="1457"/>
      <c r="B24" s="1458"/>
      <c r="C24" s="1458"/>
      <c r="D24" s="1458"/>
      <c r="E24" s="1458"/>
      <c r="F24" s="1458"/>
      <c r="G24" s="1458"/>
      <c r="H24" s="1458"/>
      <c r="I24" s="1458"/>
      <c r="J24" s="1458"/>
      <c r="K24" s="1458"/>
      <c r="L24" s="1458"/>
      <c r="M24" s="1458"/>
      <c r="N24" s="1459"/>
    </row>
    <row r="25" spans="1:25" ht="30" customHeight="1" thickBot="1" x14ac:dyDescent="0.3">
      <c r="A25" s="1450" t="s">
        <v>2078</v>
      </c>
      <c r="B25" s="1451"/>
      <c r="C25" s="1451"/>
      <c r="D25" s="1451"/>
      <c r="E25" s="1451"/>
      <c r="F25" s="1451"/>
      <c r="G25" s="1451"/>
      <c r="H25" s="1451"/>
      <c r="I25" s="1451"/>
      <c r="J25" s="1451"/>
      <c r="K25" s="1451"/>
      <c r="L25" s="1451"/>
      <c r="M25" s="1451"/>
      <c r="N25" s="1452"/>
    </row>
    <row r="26" spans="1:25" ht="54.95" customHeight="1" thickBot="1" x14ac:dyDescent="0.3">
      <c r="A26" s="1455" t="s">
        <v>2080</v>
      </c>
      <c r="B26" s="1456"/>
      <c r="C26" s="1456"/>
      <c r="D26" s="1456"/>
      <c r="E26" s="1456"/>
      <c r="F26" s="1456"/>
      <c r="G26" s="1456"/>
      <c r="H26" s="1456"/>
      <c r="I26" s="1456"/>
      <c r="J26" s="1456"/>
      <c r="K26" s="1456"/>
      <c r="L26" s="1456"/>
      <c r="M26" s="1456"/>
      <c r="N26" s="1456"/>
    </row>
    <row r="27" spans="1:25" ht="50.1" customHeight="1" thickBot="1" x14ac:dyDescent="0.3">
      <c r="A27" s="1462" t="s">
        <v>2081</v>
      </c>
      <c r="B27" s="1463"/>
      <c r="C27" s="1464"/>
      <c r="D27" s="472" t="s">
        <v>1801</v>
      </c>
      <c r="E27" s="803" t="s">
        <v>26</v>
      </c>
      <c r="F27" s="800" t="s">
        <v>30</v>
      </c>
      <c r="G27" s="800" t="s">
        <v>3</v>
      </c>
      <c r="H27" s="800" t="s">
        <v>4</v>
      </c>
      <c r="I27" s="800" t="s">
        <v>0</v>
      </c>
      <c r="J27" s="800" t="s">
        <v>5</v>
      </c>
      <c r="K27" s="800" t="s">
        <v>2348</v>
      </c>
      <c r="L27" s="800" t="s">
        <v>24</v>
      </c>
      <c r="M27" s="800" t="s">
        <v>1799</v>
      </c>
      <c r="N27" s="804" t="s">
        <v>25</v>
      </c>
      <c r="Q27" s="466" t="b">
        <v>0</v>
      </c>
      <c r="R27" s="466" t="b">
        <v>0</v>
      </c>
      <c r="S27" s="48" t="b">
        <f>IF(OR(AND($Q$27=FALSE,$R$27=FALSE),AND($Q$27=TRUE,$R$27=TRUE)),FALSE,TRUE)</f>
        <v>0</v>
      </c>
    </row>
    <row r="28" spans="1:25" ht="50.1" customHeight="1" thickBot="1" x14ac:dyDescent="0.3">
      <c r="A28" s="1465"/>
      <c r="B28" s="1466"/>
      <c r="C28" s="1467"/>
      <c r="D28" s="473" t="s">
        <v>1802</v>
      </c>
      <c r="E28" s="467"/>
      <c r="F28" s="459"/>
      <c r="G28" s="459"/>
      <c r="H28" s="459"/>
      <c r="I28" s="459"/>
      <c r="J28" s="459"/>
      <c r="K28" s="459"/>
      <c r="L28" s="459"/>
      <c r="M28" s="459"/>
      <c r="N28" s="460"/>
    </row>
    <row r="29" spans="1:25" ht="60" customHeight="1" x14ac:dyDescent="0.25">
      <c r="A29" s="1348"/>
      <c r="B29" s="1348"/>
      <c r="C29" s="1348"/>
      <c r="D29" s="1348"/>
      <c r="E29" s="1348"/>
      <c r="F29" s="1348"/>
      <c r="G29" s="1348"/>
      <c r="H29" s="1348"/>
      <c r="I29" s="1348"/>
      <c r="J29" s="1348"/>
      <c r="K29" s="1348"/>
      <c r="L29" s="1348"/>
      <c r="M29" s="1348"/>
      <c r="N29" s="1348"/>
    </row>
    <row r="30" spans="1:25" ht="24.95" customHeight="1" thickBot="1" x14ac:dyDescent="0.3">
      <c r="A30" s="1003" t="s">
        <v>2066</v>
      </c>
      <c r="B30" s="1003"/>
      <c r="C30" s="1003"/>
      <c r="D30" s="1003"/>
      <c r="E30" s="1003"/>
      <c r="F30" s="1003"/>
      <c r="G30" s="1003"/>
      <c r="H30" s="1003"/>
      <c r="I30" s="1003"/>
      <c r="J30" s="1003"/>
      <c r="K30" s="1003"/>
      <c r="L30" s="1003"/>
      <c r="M30" s="833"/>
      <c r="N30" s="843" t="str">
        <f>"Ver."&amp;" "&amp;TEXT(Introduction!$M$3,"MM/YYYY")</f>
        <v>Ver. 01/2025</v>
      </c>
    </row>
    <row r="31" spans="1:25" ht="24.95" customHeight="1" thickBot="1" x14ac:dyDescent="0.3">
      <c r="A31" s="1450" t="s">
        <v>2082</v>
      </c>
      <c r="B31" s="1451"/>
      <c r="C31" s="1451"/>
      <c r="D31" s="1451"/>
      <c r="E31" s="1451"/>
      <c r="F31" s="1451"/>
      <c r="G31" s="1451"/>
      <c r="H31" s="1451"/>
      <c r="I31" s="1451"/>
      <c r="J31" s="1451"/>
      <c r="K31" s="1451"/>
      <c r="L31" s="1451"/>
      <c r="M31" s="1451"/>
      <c r="N31" s="1452"/>
    </row>
    <row r="32" spans="1:25" s="616" customFormat="1" ht="39.950000000000003" customHeight="1" thickBot="1" x14ac:dyDescent="0.25">
      <c r="A32" s="1460" t="s">
        <v>2069</v>
      </c>
      <c r="B32" s="1461"/>
      <c r="C32" s="1461"/>
      <c r="D32" s="1461"/>
      <c r="E32" s="1461"/>
      <c r="F32" s="1461"/>
      <c r="G32" s="1461"/>
      <c r="H32" s="1461"/>
      <c r="I32" s="1461"/>
      <c r="J32" s="1461"/>
      <c r="K32" s="1461"/>
      <c r="L32" s="1461"/>
      <c r="M32" s="1461"/>
      <c r="N32" s="1461"/>
    </row>
    <row r="33" spans="1:14" ht="60.75" thickBot="1" x14ac:dyDescent="0.3">
      <c r="A33" s="801" t="s">
        <v>1797</v>
      </c>
      <c r="B33" s="802" t="s">
        <v>271</v>
      </c>
      <c r="C33" s="802" t="s">
        <v>1804</v>
      </c>
      <c r="D33" s="802" t="s">
        <v>1803</v>
      </c>
      <c r="E33" s="803" t="s">
        <v>26</v>
      </c>
      <c r="F33" s="800" t="s">
        <v>30</v>
      </c>
      <c r="G33" s="800" t="s">
        <v>3</v>
      </c>
      <c r="H33" s="800" t="s">
        <v>4</v>
      </c>
      <c r="I33" s="800" t="s">
        <v>0</v>
      </c>
      <c r="J33" s="800" t="s">
        <v>5</v>
      </c>
      <c r="K33" s="800" t="s">
        <v>2348</v>
      </c>
      <c r="L33" s="800" t="s">
        <v>24</v>
      </c>
      <c r="M33" s="800" t="s">
        <v>1799</v>
      </c>
      <c r="N33" s="804" t="s">
        <v>25</v>
      </c>
    </row>
    <row r="34" spans="1:14" ht="18" customHeight="1" x14ac:dyDescent="0.25">
      <c r="A34" s="1446" t="s">
        <v>1886</v>
      </c>
      <c r="B34" s="1447"/>
      <c r="C34" s="1447"/>
      <c r="D34" s="1447"/>
      <c r="E34" s="1447"/>
      <c r="F34" s="1447"/>
      <c r="G34" s="1447"/>
      <c r="H34" s="1447"/>
      <c r="I34" s="1447"/>
      <c r="J34" s="1447"/>
      <c r="K34" s="1447"/>
      <c r="L34" s="1447"/>
      <c r="M34" s="1447"/>
      <c r="N34" s="1448"/>
    </row>
    <row r="35" spans="1:14" ht="18" customHeight="1" x14ac:dyDescent="0.25">
      <c r="A35" s="302" t="str">
        <f>IF(ISBLANK('Table 3-A| Emission Units'!A134),"",'Table 3-A| Emission Units'!A134&amp;"-"&amp;'Table 3-A| Emission Units'!B134)</f>
        <v/>
      </c>
      <c r="B35" s="303" t="str">
        <f>IF(OR(ISBLANK('Table 3-A| Emission Units'!C134),ISTEXT('Table 3-A| Emission Units'!C134)),"",'Table 3-A| Emission Units'!C134)</f>
        <v/>
      </c>
      <c r="C35" s="305" t="str">
        <f>IF(AND(ISBLANK('Table 6-A| Controls &amp; Limits'!C43),ISBLANK('Table 6-A| Controls &amp; Limits'!G43)),"",IF(OR('Table 6-A| Controls &amp; Limits'!C43="Yes",'Table 6-A| Controls &amp; Limits'!G43="Yes"),"Yes","No"))</f>
        <v/>
      </c>
      <c r="D35" s="242"/>
      <c r="E35" s="464"/>
      <c r="F35" s="307"/>
      <c r="G35" s="307"/>
      <c r="H35" s="307"/>
      <c r="I35" s="307"/>
      <c r="J35" s="307"/>
      <c r="K35" s="307"/>
      <c r="L35" s="307"/>
      <c r="M35" s="307"/>
      <c r="N35" s="308"/>
    </row>
    <row r="36" spans="1:14" ht="18" customHeight="1" x14ac:dyDescent="0.25">
      <c r="A36" s="302" t="str">
        <f>IF(ISBLANK('Table 3-A| Emission Units'!A135),"",'Table 3-A| Emission Units'!A135&amp;"-"&amp;'Table 3-A| Emission Units'!B135)</f>
        <v/>
      </c>
      <c r="B36" s="303" t="str">
        <f>IF(OR(ISBLANK('Table 3-A| Emission Units'!C135),ISTEXT('Table 3-A| Emission Units'!C135)),"",'Table 3-A| Emission Units'!C135)</f>
        <v/>
      </c>
      <c r="C36" s="305" t="str">
        <f>IF(AND(ISBLANK('Table 6-A| Controls &amp; Limits'!C44),ISBLANK('Table 6-A| Controls &amp; Limits'!G44)),"",IF(OR('Table 6-A| Controls &amp; Limits'!C44="Yes",'Table 6-A| Controls &amp; Limits'!G44="Yes"),"Yes","No"))</f>
        <v/>
      </c>
      <c r="D36" s="242"/>
      <c r="E36" s="464"/>
      <c r="F36" s="307"/>
      <c r="G36" s="307"/>
      <c r="H36" s="307"/>
      <c r="I36" s="307"/>
      <c r="J36" s="307"/>
      <c r="K36" s="307"/>
      <c r="L36" s="307"/>
      <c r="M36" s="307"/>
      <c r="N36" s="308"/>
    </row>
    <row r="37" spans="1:14" ht="18" customHeight="1" x14ac:dyDescent="0.25">
      <c r="A37" s="302" t="str">
        <f>IF(ISBLANK('Table 3-A| Emission Units'!A136),"",'Table 3-A| Emission Units'!A136&amp;"-"&amp;'Table 3-A| Emission Units'!B136)</f>
        <v/>
      </c>
      <c r="B37" s="303" t="str">
        <f>IF(OR(ISBLANK('Table 3-A| Emission Units'!C136),ISTEXT('Table 3-A| Emission Units'!C136)),"",'Table 3-A| Emission Units'!C136)</f>
        <v/>
      </c>
      <c r="C37" s="305" t="str">
        <f>IF(AND(ISBLANK('Table 6-A| Controls &amp; Limits'!C45),ISBLANK('Table 6-A| Controls &amp; Limits'!G45)),"",IF(OR('Table 6-A| Controls &amp; Limits'!C45="Yes",'Table 6-A| Controls &amp; Limits'!G45="Yes"),"Yes","No"))</f>
        <v/>
      </c>
      <c r="D37" s="242"/>
      <c r="E37" s="464"/>
      <c r="F37" s="307"/>
      <c r="G37" s="307"/>
      <c r="H37" s="307"/>
      <c r="I37" s="307"/>
      <c r="J37" s="307"/>
      <c r="K37" s="307"/>
      <c r="L37" s="307"/>
      <c r="M37" s="307"/>
      <c r="N37" s="308"/>
    </row>
    <row r="38" spans="1:14" ht="18" customHeight="1" x14ac:dyDescent="0.25">
      <c r="A38" s="302" t="str">
        <f>IF(ISBLANK('Table 3-A| Emission Units'!A137),"",'Table 3-A| Emission Units'!A137&amp;"-"&amp;'Table 3-A| Emission Units'!B137)</f>
        <v/>
      </c>
      <c r="B38" s="303" t="str">
        <f>IF(OR(ISBLANK('Table 3-A| Emission Units'!C137),ISTEXT('Table 3-A| Emission Units'!C137)),"",'Table 3-A| Emission Units'!C137)</f>
        <v/>
      </c>
      <c r="C38" s="305" t="str">
        <f>IF(AND(ISBLANK('Table 6-A| Controls &amp; Limits'!C46),ISBLANK('Table 6-A| Controls &amp; Limits'!G46)),"",IF(OR('Table 6-A| Controls &amp; Limits'!C46="Yes",'Table 6-A| Controls &amp; Limits'!G46="Yes"),"Yes","No"))</f>
        <v/>
      </c>
      <c r="D38" s="242"/>
      <c r="E38" s="464"/>
      <c r="F38" s="307"/>
      <c r="G38" s="307"/>
      <c r="H38" s="307"/>
      <c r="I38" s="307"/>
      <c r="J38" s="307"/>
      <c r="K38" s="307"/>
      <c r="L38" s="307"/>
      <c r="M38" s="307"/>
      <c r="N38" s="308"/>
    </row>
    <row r="39" spans="1:14" ht="18" customHeight="1" x14ac:dyDescent="0.25">
      <c r="A39" s="302" t="str">
        <f>IF(ISBLANK('Table 3-A| Emission Units'!A138),"",'Table 3-A| Emission Units'!A138&amp;"-"&amp;'Table 3-A| Emission Units'!B138)</f>
        <v/>
      </c>
      <c r="B39" s="303" t="str">
        <f>IF(OR(ISBLANK('Table 3-A| Emission Units'!C138),ISTEXT('Table 3-A| Emission Units'!C138)),"",'Table 3-A| Emission Units'!C138)</f>
        <v/>
      </c>
      <c r="C39" s="305" t="str">
        <f>IF(AND(ISBLANK('Table 6-A| Controls &amp; Limits'!C47),ISBLANK('Table 6-A| Controls &amp; Limits'!G47)),"",IF(OR('Table 6-A| Controls &amp; Limits'!C47="Yes",'Table 6-A| Controls &amp; Limits'!G47="Yes"),"Yes","No"))</f>
        <v/>
      </c>
      <c r="D39" s="242"/>
      <c r="E39" s="464"/>
      <c r="F39" s="307"/>
      <c r="G39" s="307"/>
      <c r="H39" s="307"/>
      <c r="I39" s="307"/>
      <c r="J39" s="307"/>
      <c r="K39" s="307"/>
      <c r="L39" s="307"/>
      <c r="M39" s="307"/>
      <c r="N39" s="308"/>
    </row>
    <row r="40" spans="1:14" ht="18" customHeight="1" x14ac:dyDescent="0.25">
      <c r="A40" s="302" t="str">
        <f>IF(ISBLANK('Table 3-A| Emission Units'!A139),"",'Table 3-A| Emission Units'!A139&amp;"-"&amp;'Table 3-A| Emission Units'!B139)</f>
        <v/>
      </c>
      <c r="B40" s="303" t="str">
        <f>IF(OR(ISBLANK('Table 3-A| Emission Units'!C139),ISTEXT('Table 3-A| Emission Units'!C139)),"",'Table 3-A| Emission Units'!C139)</f>
        <v/>
      </c>
      <c r="C40" s="305" t="str">
        <f>IF(AND(ISBLANK('Table 6-A| Controls &amp; Limits'!C48),ISBLANK('Table 6-A| Controls &amp; Limits'!G48)),"",IF(OR('Table 6-A| Controls &amp; Limits'!C48="Yes",'Table 6-A| Controls &amp; Limits'!G48="Yes"),"Yes","No"))</f>
        <v/>
      </c>
      <c r="D40" s="242"/>
      <c r="E40" s="464"/>
      <c r="F40" s="307"/>
      <c r="G40" s="307"/>
      <c r="H40" s="307"/>
      <c r="I40" s="307"/>
      <c r="J40" s="307"/>
      <c r="K40" s="307"/>
      <c r="L40" s="307"/>
      <c r="M40" s="307"/>
      <c r="N40" s="308"/>
    </row>
    <row r="41" spans="1:14" ht="18" customHeight="1" x14ac:dyDescent="0.25">
      <c r="A41" s="302" t="str">
        <f>IF(ISBLANK('Table 3-A| Emission Units'!A140),"",'Table 3-A| Emission Units'!A140&amp;"-"&amp;'Table 3-A| Emission Units'!B140)</f>
        <v/>
      </c>
      <c r="B41" s="303" t="str">
        <f>IF(OR(ISBLANK('Table 3-A| Emission Units'!C140),ISTEXT('Table 3-A| Emission Units'!C140)),"",'Table 3-A| Emission Units'!C140)</f>
        <v/>
      </c>
      <c r="C41" s="305" t="str">
        <f>IF(AND(ISBLANK('Table 6-A| Controls &amp; Limits'!C49),ISBLANK('Table 6-A| Controls &amp; Limits'!G49)),"",IF(OR('Table 6-A| Controls &amp; Limits'!C49="Yes",'Table 6-A| Controls &amp; Limits'!G49="Yes"),"Yes","No"))</f>
        <v/>
      </c>
      <c r="D41" s="242"/>
      <c r="E41" s="464"/>
      <c r="F41" s="307"/>
      <c r="G41" s="307"/>
      <c r="H41" s="307"/>
      <c r="I41" s="307"/>
      <c r="J41" s="307"/>
      <c r="K41" s="307"/>
      <c r="L41" s="307"/>
      <c r="M41" s="307"/>
      <c r="N41" s="308"/>
    </row>
    <row r="42" spans="1:14" ht="18" customHeight="1" x14ac:dyDescent="0.25">
      <c r="A42" s="302" t="str">
        <f>IF(ISBLANK('Table 3-A| Emission Units'!A141),"",'Table 3-A| Emission Units'!A141&amp;"-"&amp;'Table 3-A| Emission Units'!B141)</f>
        <v/>
      </c>
      <c r="B42" s="303" t="str">
        <f>IF(OR(ISBLANK('Table 3-A| Emission Units'!C141),ISTEXT('Table 3-A| Emission Units'!C141)),"",'Table 3-A| Emission Units'!C141)</f>
        <v/>
      </c>
      <c r="C42" s="305" t="str">
        <f>IF(AND(ISBLANK('Table 6-A| Controls &amp; Limits'!C50),ISBLANK('Table 6-A| Controls &amp; Limits'!G50)),"",IF(OR('Table 6-A| Controls &amp; Limits'!C50="Yes",'Table 6-A| Controls &amp; Limits'!G50="Yes"),"Yes","No"))</f>
        <v/>
      </c>
      <c r="D42" s="242"/>
      <c r="E42" s="464"/>
      <c r="F42" s="307"/>
      <c r="G42" s="307"/>
      <c r="H42" s="307"/>
      <c r="I42" s="307"/>
      <c r="J42" s="307"/>
      <c r="K42" s="307"/>
      <c r="L42" s="307"/>
      <c r="M42" s="307"/>
      <c r="N42" s="308"/>
    </row>
    <row r="43" spans="1:14" ht="18" customHeight="1" x14ac:dyDescent="0.25">
      <c r="A43" s="302" t="str">
        <f>IF(ISBLANK('Table 3-A| Emission Units'!A142),"",'Table 3-A| Emission Units'!A142&amp;"-"&amp;'Table 3-A| Emission Units'!B142)</f>
        <v/>
      </c>
      <c r="B43" s="303" t="str">
        <f>IF(OR(ISBLANK('Table 3-A| Emission Units'!C142),ISTEXT('Table 3-A| Emission Units'!C142)),"",'Table 3-A| Emission Units'!C142)</f>
        <v/>
      </c>
      <c r="C43" s="305" t="str">
        <f>IF(AND(ISBLANK('Table 6-A| Controls &amp; Limits'!C51),ISBLANK('Table 6-A| Controls &amp; Limits'!G51)),"",IF(OR('Table 6-A| Controls &amp; Limits'!C51="Yes",'Table 6-A| Controls &amp; Limits'!G51="Yes"),"Yes","No"))</f>
        <v/>
      </c>
      <c r="D43" s="242"/>
      <c r="E43" s="464"/>
      <c r="F43" s="307"/>
      <c r="G43" s="307"/>
      <c r="H43" s="307"/>
      <c r="I43" s="307"/>
      <c r="J43" s="307"/>
      <c r="K43" s="307"/>
      <c r="L43" s="307"/>
      <c r="M43" s="307"/>
      <c r="N43" s="308"/>
    </row>
    <row r="44" spans="1:14" ht="18" customHeight="1" x14ac:dyDescent="0.25">
      <c r="A44" s="302" t="str">
        <f>IF(ISBLANK('Table 3-A| Emission Units'!A143),"",'Table 3-A| Emission Units'!A143&amp;"-"&amp;'Table 3-A| Emission Units'!B143)</f>
        <v/>
      </c>
      <c r="B44" s="303" t="str">
        <f>IF(OR(ISBLANK('Table 3-A| Emission Units'!C143),ISTEXT('Table 3-A| Emission Units'!C143)),"",'Table 3-A| Emission Units'!C143)</f>
        <v/>
      </c>
      <c r="C44" s="305" t="str">
        <f>IF(AND(ISBLANK('Table 6-A| Controls &amp; Limits'!C52),ISBLANK('Table 6-A| Controls &amp; Limits'!G52)),"",IF(OR('Table 6-A| Controls &amp; Limits'!C52="Yes",'Table 6-A| Controls &amp; Limits'!G52="Yes"),"Yes","No"))</f>
        <v/>
      </c>
      <c r="D44" s="242"/>
      <c r="E44" s="464"/>
      <c r="F44" s="307"/>
      <c r="G44" s="307"/>
      <c r="H44" s="307"/>
      <c r="I44" s="307"/>
      <c r="J44" s="307"/>
      <c r="K44" s="307"/>
      <c r="L44" s="307"/>
      <c r="M44" s="307"/>
      <c r="N44" s="308"/>
    </row>
    <row r="45" spans="1:14" ht="18" customHeight="1" x14ac:dyDescent="0.25">
      <c r="A45" s="302" t="str">
        <f>IF(ISBLANK('Table 3-A| Emission Units'!A144),"",'Table 3-A| Emission Units'!A144&amp;"-"&amp;'Table 3-A| Emission Units'!B144)</f>
        <v/>
      </c>
      <c r="B45" s="303" t="str">
        <f>IF(OR(ISBLANK('Table 3-A| Emission Units'!C144),ISTEXT('Table 3-A| Emission Units'!C144)),"",'Table 3-A| Emission Units'!C144)</f>
        <v/>
      </c>
      <c r="C45" s="305" t="str">
        <f>IF(AND(ISBLANK('Table 6-A| Controls &amp; Limits'!C53),ISBLANK('Table 6-A| Controls &amp; Limits'!G53)),"",IF(OR('Table 6-A| Controls &amp; Limits'!C53="Yes",'Table 6-A| Controls &amp; Limits'!G53="Yes"),"Yes","No"))</f>
        <v/>
      </c>
      <c r="D45" s="242"/>
      <c r="E45" s="464"/>
      <c r="F45" s="307"/>
      <c r="G45" s="307"/>
      <c r="H45" s="307"/>
      <c r="I45" s="307"/>
      <c r="J45" s="307"/>
      <c r="K45" s="307"/>
      <c r="L45" s="307"/>
      <c r="M45" s="307"/>
      <c r="N45" s="308"/>
    </row>
    <row r="46" spans="1:14" ht="18" customHeight="1" x14ac:dyDescent="0.25">
      <c r="A46" s="302" t="str">
        <f>IF(ISBLANK('Table 3-A| Emission Units'!A155),"",'Table 3-A| Emission Units'!A155&amp;"-"&amp;'Table 3-A| Emission Units'!B155)</f>
        <v/>
      </c>
      <c r="B46" s="303" t="str">
        <f>IF(OR(ISBLANK('Table 3-A| Emission Units'!C155),ISTEXT('Table 3-A| Emission Units'!C155)),"",'Table 3-A| Emission Units'!C155)</f>
        <v/>
      </c>
      <c r="C46" s="305" t="str">
        <f>IF(AND(ISBLANK('Table 6-A| Controls &amp; Limits'!C54),ISBLANK('Table 6-A| Controls &amp; Limits'!G54)),"",IF(OR('Table 6-A| Controls &amp; Limits'!C54="Yes",'Table 6-A| Controls &amp; Limits'!G54="Yes"),"Yes","No"))</f>
        <v/>
      </c>
      <c r="D46" s="242"/>
      <c r="E46" s="464"/>
      <c r="F46" s="307"/>
      <c r="G46" s="307"/>
      <c r="H46" s="307"/>
      <c r="I46" s="307"/>
      <c r="J46" s="307"/>
      <c r="K46" s="307"/>
      <c r="L46" s="307"/>
      <c r="M46" s="307"/>
      <c r="N46" s="308"/>
    </row>
    <row r="47" spans="1:14" ht="18" customHeight="1" x14ac:dyDescent="0.25">
      <c r="A47" s="302" t="str">
        <f>IF(ISBLANK('Table 3-A| Emission Units'!A156),"",'Table 3-A| Emission Units'!A156&amp;"-"&amp;'Table 3-A| Emission Units'!B156)</f>
        <v/>
      </c>
      <c r="B47" s="303" t="str">
        <f>IF(OR(ISBLANK('Table 3-A| Emission Units'!C156),ISTEXT('Table 3-A| Emission Units'!C156)),"",'Table 3-A| Emission Units'!C156)</f>
        <v/>
      </c>
      <c r="C47" s="305" t="str">
        <f>IF(AND(ISBLANK('Table 6-A| Controls &amp; Limits'!C55),ISBLANK('Table 6-A| Controls &amp; Limits'!G55)),"",IF(OR('Table 6-A| Controls &amp; Limits'!C55="Yes",'Table 6-A| Controls &amp; Limits'!G55="Yes"),"Yes","No"))</f>
        <v/>
      </c>
      <c r="D47" s="242"/>
      <c r="E47" s="464"/>
      <c r="F47" s="307"/>
      <c r="G47" s="307"/>
      <c r="H47" s="307"/>
      <c r="I47" s="307"/>
      <c r="J47" s="307"/>
      <c r="K47" s="307"/>
      <c r="L47" s="307"/>
      <c r="M47" s="307"/>
      <c r="N47" s="308"/>
    </row>
    <row r="48" spans="1:14" ht="18" customHeight="1" x14ac:dyDescent="0.25">
      <c r="A48" s="302" t="str">
        <f>IF(ISBLANK('Table 3-A| Emission Units'!A157),"",'Table 3-A| Emission Units'!A157&amp;"-"&amp;'Table 3-A| Emission Units'!B157)</f>
        <v/>
      </c>
      <c r="B48" s="303" t="str">
        <f>IF(OR(ISBLANK('Table 3-A| Emission Units'!C157),ISTEXT('Table 3-A| Emission Units'!C157)),"",'Table 3-A| Emission Units'!C157)</f>
        <v/>
      </c>
      <c r="C48" s="305" t="str">
        <f>IF(AND(ISBLANK('Table 6-A| Controls &amp; Limits'!C56),ISBLANK('Table 6-A| Controls &amp; Limits'!G56)),"",IF(OR('Table 6-A| Controls &amp; Limits'!C56="Yes",'Table 6-A| Controls &amp; Limits'!G56="Yes"),"Yes","No"))</f>
        <v/>
      </c>
      <c r="D48" s="242"/>
      <c r="E48" s="464"/>
      <c r="F48" s="307"/>
      <c r="G48" s="307"/>
      <c r="H48" s="307"/>
      <c r="I48" s="307"/>
      <c r="J48" s="307"/>
      <c r="K48" s="307"/>
      <c r="L48" s="307"/>
      <c r="M48" s="307"/>
      <c r="N48" s="308"/>
    </row>
    <row r="49" spans="1:14" ht="18" customHeight="1" x14ac:dyDescent="0.25">
      <c r="A49" s="302" t="str">
        <f>IF(ISBLANK('Table 3-A| Emission Units'!A158),"",'Table 3-A| Emission Units'!A158&amp;"-"&amp;'Table 3-A| Emission Units'!B158)</f>
        <v/>
      </c>
      <c r="B49" s="303" t="str">
        <f>IF(OR(ISBLANK('Table 3-A| Emission Units'!C158),ISTEXT('Table 3-A| Emission Units'!C158)),"",'Table 3-A| Emission Units'!C158)</f>
        <v/>
      </c>
      <c r="C49" s="305" t="str">
        <f>IF(AND(ISBLANK('Table 6-A| Controls &amp; Limits'!C57),ISBLANK('Table 6-A| Controls &amp; Limits'!G57)),"",IF(OR('Table 6-A| Controls &amp; Limits'!C57="Yes",'Table 6-A| Controls &amp; Limits'!G57="Yes"),"Yes","No"))</f>
        <v/>
      </c>
      <c r="D49" s="242"/>
      <c r="E49" s="464"/>
      <c r="F49" s="307"/>
      <c r="G49" s="307"/>
      <c r="H49" s="307"/>
      <c r="I49" s="307"/>
      <c r="J49" s="307"/>
      <c r="K49" s="307"/>
      <c r="L49" s="307"/>
      <c r="M49" s="307"/>
      <c r="N49" s="308"/>
    </row>
    <row r="50" spans="1:14" ht="18" customHeight="1" x14ac:dyDescent="0.25">
      <c r="A50" s="302" t="str">
        <f>IF(ISBLANK('Table 3-A| Emission Units'!A159),"",'Table 3-A| Emission Units'!A159&amp;"-"&amp;'Table 3-A| Emission Units'!B159)</f>
        <v/>
      </c>
      <c r="B50" s="303" t="str">
        <f>IF(OR(ISBLANK('Table 3-A| Emission Units'!C159),ISTEXT('Table 3-A| Emission Units'!C159)),"",'Table 3-A| Emission Units'!C159)</f>
        <v/>
      </c>
      <c r="C50" s="305" t="str">
        <f>IF(AND(ISBLANK('Table 6-A| Controls &amp; Limits'!C58),ISBLANK('Table 6-A| Controls &amp; Limits'!G58)),"",IF(OR('Table 6-A| Controls &amp; Limits'!C58="Yes",'Table 6-A| Controls &amp; Limits'!G58="Yes"),"Yes","No"))</f>
        <v/>
      </c>
      <c r="D50" s="242"/>
      <c r="E50" s="464"/>
      <c r="F50" s="307"/>
      <c r="G50" s="307"/>
      <c r="H50" s="307"/>
      <c r="I50" s="307"/>
      <c r="J50" s="307"/>
      <c r="K50" s="307"/>
      <c r="L50" s="307"/>
      <c r="M50" s="307"/>
      <c r="N50" s="308"/>
    </row>
    <row r="51" spans="1:14" ht="18" customHeight="1" x14ac:dyDescent="0.25">
      <c r="A51" s="302" t="str">
        <f>IF(ISBLANK('Table 3-A| Emission Units'!A160),"",'Table 3-A| Emission Units'!A160&amp;"-"&amp;'Table 3-A| Emission Units'!B160)</f>
        <v/>
      </c>
      <c r="B51" s="303" t="str">
        <f>IF(OR(ISBLANK('Table 3-A| Emission Units'!C160),ISTEXT('Table 3-A| Emission Units'!C160)),"",'Table 3-A| Emission Units'!C160)</f>
        <v/>
      </c>
      <c r="C51" s="305" t="str">
        <f>IF(AND(ISBLANK('Table 6-A| Controls &amp; Limits'!C59),ISBLANK('Table 6-A| Controls &amp; Limits'!G59)),"",IF(OR('Table 6-A| Controls &amp; Limits'!C59="Yes",'Table 6-A| Controls &amp; Limits'!G59="Yes"),"Yes","No"))</f>
        <v/>
      </c>
      <c r="D51" s="242"/>
      <c r="E51" s="464"/>
      <c r="F51" s="307"/>
      <c r="G51" s="307"/>
      <c r="H51" s="307"/>
      <c r="I51" s="307"/>
      <c r="J51" s="307"/>
      <c r="K51" s="307"/>
      <c r="L51" s="307"/>
      <c r="M51" s="307"/>
      <c r="N51" s="308"/>
    </row>
    <row r="52" spans="1:14" ht="18" customHeight="1" x14ac:dyDescent="0.25">
      <c r="A52" s="302" t="str">
        <f>IF(ISBLANK('Table 3-A| Emission Units'!A161),"",'Table 3-A| Emission Units'!A161&amp;"-"&amp;'Table 3-A| Emission Units'!B161)</f>
        <v/>
      </c>
      <c r="B52" s="303" t="str">
        <f>IF(OR(ISBLANK('Table 3-A| Emission Units'!C161),ISTEXT('Table 3-A| Emission Units'!C161)),"",'Table 3-A| Emission Units'!C161)</f>
        <v/>
      </c>
      <c r="C52" s="305" t="str">
        <f>IF(AND(ISBLANK('Table 6-A| Controls &amp; Limits'!C60),ISBLANK('Table 6-A| Controls &amp; Limits'!G60)),"",IF(OR('Table 6-A| Controls &amp; Limits'!C60="Yes",'Table 6-A| Controls &amp; Limits'!G60="Yes"),"Yes","No"))</f>
        <v/>
      </c>
      <c r="D52" s="242"/>
      <c r="E52" s="464"/>
      <c r="F52" s="307"/>
      <c r="G52" s="307"/>
      <c r="H52" s="307"/>
      <c r="I52" s="307"/>
      <c r="J52" s="307"/>
      <c r="K52" s="307"/>
      <c r="L52" s="307"/>
      <c r="M52" s="307"/>
      <c r="N52" s="308"/>
    </row>
    <row r="53" spans="1:14" ht="18" customHeight="1" x14ac:dyDescent="0.25">
      <c r="A53" s="302" t="str">
        <f>IF(ISBLANK('Table 3-A| Emission Units'!A162),"",'Table 3-A| Emission Units'!A162&amp;"-"&amp;'Table 3-A| Emission Units'!B162)</f>
        <v/>
      </c>
      <c r="B53" s="303" t="str">
        <f>IF(OR(ISBLANK('Table 3-A| Emission Units'!C162),ISTEXT('Table 3-A| Emission Units'!C162)),"",'Table 3-A| Emission Units'!C162)</f>
        <v/>
      </c>
      <c r="C53" s="305" t="str">
        <f>IF(AND(ISBLANK('Table 6-A| Controls &amp; Limits'!C61),ISBLANK('Table 6-A| Controls &amp; Limits'!G61)),"",IF(OR('Table 6-A| Controls &amp; Limits'!C61="Yes",'Table 6-A| Controls &amp; Limits'!G61="Yes"),"Yes","No"))</f>
        <v/>
      </c>
      <c r="D53" s="242"/>
      <c r="E53" s="464"/>
      <c r="F53" s="307"/>
      <c r="G53" s="307"/>
      <c r="H53" s="307"/>
      <c r="I53" s="307"/>
      <c r="J53" s="307"/>
      <c r="K53" s="307"/>
      <c r="L53" s="307"/>
      <c r="M53" s="307"/>
      <c r="N53" s="308"/>
    </row>
    <row r="54" spans="1:14" ht="18" customHeight="1" x14ac:dyDescent="0.25">
      <c r="A54" s="302" t="str">
        <f>IF(ISBLANK('Table 3-A| Emission Units'!A163),"",'Table 3-A| Emission Units'!A163&amp;"-"&amp;'Table 3-A| Emission Units'!B163)</f>
        <v/>
      </c>
      <c r="B54" s="303" t="str">
        <f>IF(OR(ISBLANK('Table 3-A| Emission Units'!C163),ISTEXT('Table 3-A| Emission Units'!C163)),"",'Table 3-A| Emission Units'!C163)</f>
        <v/>
      </c>
      <c r="C54" s="305" t="str">
        <f>IF(AND(ISBLANK('Table 6-A| Controls &amp; Limits'!C62),ISBLANK('Table 6-A| Controls &amp; Limits'!G62)),"",IF(OR('Table 6-A| Controls &amp; Limits'!C62="Yes",'Table 6-A| Controls &amp; Limits'!G62="Yes"),"Yes","No"))</f>
        <v/>
      </c>
      <c r="D54" s="242"/>
      <c r="E54" s="464"/>
      <c r="F54" s="307"/>
      <c r="G54" s="307"/>
      <c r="H54" s="307"/>
      <c r="I54" s="307"/>
      <c r="J54" s="307"/>
      <c r="K54" s="307"/>
      <c r="L54" s="307"/>
      <c r="M54" s="307"/>
      <c r="N54" s="308"/>
    </row>
    <row r="55" spans="1:14" ht="18" customHeight="1" x14ac:dyDescent="0.25">
      <c r="A55" s="302" t="str">
        <f>IF(ISBLANK('Table 3-A| Emission Units'!A164),"",'Table 3-A| Emission Units'!A164&amp;"-"&amp;'Table 3-A| Emission Units'!B164)</f>
        <v/>
      </c>
      <c r="B55" s="303" t="str">
        <f>IF(OR(ISBLANK('Table 3-A| Emission Units'!C164),ISTEXT('Table 3-A| Emission Units'!C164)),"",'Table 3-A| Emission Units'!C164)</f>
        <v/>
      </c>
      <c r="C55" s="305" t="str">
        <f>IF(AND(ISBLANK('Table 6-A| Controls &amp; Limits'!C63),ISBLANK('Table 6-A| Controls &amp; Limits'!G63)),"",IF(OR('Table 6-A| Controls &amp; Limits'!C63="Yes",'Table 6-A| Controls &amp; Limits'!G63="Yes"),"Yes","No"))</f>
        <v/>
      </c>
      <c r="D55" s="242"/>
      <c r="E55" s="464"/>
      <c r="F55" s="307"/>
      <c r="G55" s="307"/>
      <c r="H55" s="307"/>
      <c r="I55" s="307"/>
      <c r="J55" s="307"/>
      <c r="K55" s="307"/>
      <c r="L55" s="307"/>
      <c r="M55" s="307"/>
      <c r="N55" s="308"/>
    </row>
    <row r="56" spans="1:14" ht="18" customHeight="1" x14ac:dyDescent="0.25">
      <c r="A56" s="302" t="str">
        <f>IF(ISBLANK('Table 3-A| Emission Units'!A165),"",'Table 3-A| Emission Units'!A165&amp;"-"&amp;'Table 3-A| Emission Units'!B165)</f>
        <v/>
      </c>
      <c r="B56" s="303" t="str">
        <f>IF(OR(ISBLANK('Table 3-A| Emission Units'!C165),ISTEXT('Table 3-A| Emission Units'!C165)),"",'Table 3-A| Emission Units'!C165)</f>
        <v/>
      </c>
      <c r="C56" s="305" t="str">
        <f>IF(AND(ISBLANK('Table 6-A| Controls &amp; Limits'!C64),ISBLANK('Table 6-A| Controls &amp; Limits'!G64)),"",IF(OR('Table 6-A| Controls &amp; Limits'!C64="Yes",'Table 6-A| Controls &amp; Limits'!G64="Yes"),"Yes","No"))</f>
        <v/>
      </c>
      <c r="D56" s="242"/>
      <c r="E56" s="464"/>
      <c r="F56" s="307"/>
      <c r="G56" s="307"/>
      <c r="H56" s="307"/>
      <c r="I56" s="307"/>
      <c r="J56" s="307"/>
      <c r="K56" s="307"/>
      <c r="L56" s="307"/>
      <c r="M56" s="307"/>
      <c r="N56" s="308"/>
    </row>
    <row r="57" spans="1:14" ht="18" customHeight="1" thickBot="1" x14ac:dyDescent="0.3">
      <c r="A57" s="309" t="str">
        <f>IF(ISBLANK('Table 3-A| Emission Units'!A166),"",'Table 3-A| Emission Units'!A166&amp;"-"&amp;'Table 3-A| Emission Units'!B166)</f>
        <v/>
      </c>
      <c r="B57" s="310" t="str">
        <f>IF(OR(ISBLANK('Table 3-A| Emission Units'!C166),ISTEXT('Table 3-A| Emission Units'!C166)),"",'Table 3-A| Emission Units'!C166)</f>
        <v/>
      </c>
      <c r="C57" s="312" t="str">
        <f>IF(AND(ISBLANK('Table 6-A| Controls &amp; Limits'!C65),ISBLANK('Table 6-A| Controls &amp; Limits'!G65)),"",IF(OR('Table 6-A| Controls &amp; Limits'!C65="Yes",'Table 6-A| Controls &amp; Limits'!G65="Yes"),"Yes","No"))</f>
        <v/>
      </c>
      <c r="D57" s="244"/>
      <c r="E57" s="465"/>
      <c r="F57" s="313"/>
      <c r="G57" s="313"/>
      <c r="H57" s="313"/>
      <c r="I57" s="313"/>
      <c r="J57" s="313"/>
      <c r="K57" s="313"/>
      <c r="L57" s="313"/>
      <c r="M57" s="313"/>
      <c r="N57" s="314"/>
    </row>
  </sheetData>
  <sheetProtection algorithmName="SHA-512" hashValue="v1h1tuNFZM3PXZPB0PXYO30LXdHVCJqu+WS5BVFriHZcVxA6JN6YbqXjF2OJ3xdTHAa3DtdVmvnPzAGiBkGzhQ==" saltValue="iz+7x6gjaRBru9LpB/Bu6g==" spinCount="100000" sheet="1" objects="1" scenarios="1"/>
  <mergeCells count="25">
    <mergeCell ref="A31:N31"/>
    <mergeCell ref="A1:M1"/>
    <mergeCell ref="A3:N3"/>
    <mergeCell ref="B4:N4"/>
    <mergeCell ref="B6:N6"/>
    <mergeCell ref="B7:N7"/>
    <mergeCell ref="B5:N5"/>
    <mergeCell ref="A19:L19"/>
    <mergeCell ref="A30:L30"/>
    <mergeCell ref="A34:N34"/>
    <mergeCell ref="A2:N2"/>
    <mergeCell ref="A21:N21"/>
    <mergeCell ref="A20:N20"/>
    <mergeCell ref="A26:N26"/>
    <mergeCell ref="A25:N25"/>
    <mergeCell ref="A24:N24"/>
    <mergeCell ref="A15:N15"/>
    <mergeCell ref="B8:N8"/>
    <mergeCell ref="A32:N32"/>
    <mergeCell ref="A22:C23"/>
    <mergeCell ref="A16:N16"/>
    <mergeCell ref="A17:M17"/>
    <mergeCell ref="A27:C28"/>
    <mergeCell ref="A18:N18"/>
    <mergeCell ref="A29:N29"/>
  </mergeCells>
  <conditionalFormatting sqref="B35:B57">
    <cfRule type="expression" dxfId="90" priority="155">
      <formula>B35&gt;99999999</formula>
    </cfRule>
  </conditionalFormatting>
  <conditionalFormatting sqref="D22:D23">
    <cfRule type="expression" dxfId="89" priority="113">
      <formula>$S$22=FALSE</formula>
    </cfRule>
  </conditionalFormatting>
  <conditionalFormatting sqref="D27:D28">
    <cfRule type="expression" dxfId="88" priority="725">
      <formula>$S$27=FALSE</formula>
    </cfRule>
  </conditionalFormatting>
  <conditionalFormatting sqref="D35:D57">
    <cfRule type="expression" dxfId="87" priority="42" stopIfTrue="1">
      <formula>AND(NOT(A35=""),ISBLANK(D35))</formula>
    </cfRule>
  </conditionalFormatting>
  <conditionalFormatting sqref="E10:N14">
    <cfRule type="cellIs" dxfId="86" priority="4" stopIfTrue="1" operator="equal">
      <formula>0</formula>
    </cfRule>
    <cfRule type="cellIs" dxfId="85" priority="5" stopIfTrue="1" operator="lessThan">
      <formula>0.01</formula>
    </cfRule>
    <cfRule type="cellIs" dxfId="84" priority="6" stopIfTrue="1" operator="greaterThanOrEqual">
      <formula>1000</formula>
    </cfRule>
    <cfRule type="cellIs" dxfId="83" priority="7" stopIfTrue="1" operator="greaterThanOrEqual">
      <formula>1000000</formula>
    </cfRule>
  </conditionalFormatting>
  <conditionalFormatting sqref="E23:N23">
    <cfRule type="expression" dxfId="82" priority="3">
      <formula>AND($R22=TRUE,$S22=TRUE)</formula>
    </cfRule>
    <cfRule type="expression" dxfId="81" priority="95">
      <formula>AND($Q$22=TRUE,$S$22=TRUE,ISBLANK(E23))</formula>
    </cfRule>
    <cfRule type="expression" dxfId="80" priority="96">
      <formula>AND(NOT(ISBLANK(E23)),NOT(ISNUMBER(E23)))</formula>
    </cfRule>
    <cfRule type="cellIs" dxfId="79" priority="115" stopIfTrue="1" operator="equal">
      <formula>0</formula>
    </cfRule>
    <cfRule type="cellIs" dxfId="78" priority="134" stopIfTrue="1" operator="lessThan">
      <formula>0.01</formula>
    </cfRule>
    <cfRule type="cellIs" dxfId="77" priority="135" stopIfTrue="1" operator="greaterThanOrEqual">
      <formula>1000</formula>
    </cfRule>
    <cfRule type="cellIs" dxfId="76" priority="136" stopIfTrue="1" operator="greaterThanOrEqual">
      <formula>1000000</formula>
    </cfRule>
  </conditionalFormatting>
  <conditionalFormatting sqref="E28:N28">
    <cfRule type="expression" dxfId="75" priority="726">
      <formula>AND($R27=TRUE,$S27=TRUE)</formula>
    </cfRule>
    <cfRule type="expression" dxfId="74" priority="727">
      <formula>AND($Q$27=TRUE,$S$27=TRUE,ISBLANK(E28))</formula>
    </cfRule>
    <cfRule type="expression" dxfId="73" priority="728">
      <formula>AND(NOT(ISBLANK(E28)),NOT(ISNUMBER(E28)))</formula>
    </cfRule>
    <cfRule type="cellIs" dxfId="72" priority="729" stopIfTrue="1" operator="equal">
      <formula>0</formula>
    </cfRule>
    <cfRule type="cellIs" dxfId="71" priority="730" stopIfTrue="1" operator="lessThan">
      <formula>0.01</formula>
    </cfRule>
    <cfRule type="cellIs" dxfId="70" priority="731" stopIfTrue="1" operator="greaterThanOrEqual">
      <formula>1000</formula>
    </cfRule>
    <cfRule type="cellIs" dxfId="69" priority="732" stopIfTrue="1" operator="greaterThanOrEqual">
      <formula>1000000</formula>
    </cfRule>
  </conditionalFormatting>
  <conditionalFormatting sqref="E35:N57">
    <cfRule type="expression" dxfId="68" priority="43">
      <formula>AND($D35="Yes",ISBLANK(E35))</formula>
    </cfRule>
    <cfRule type="expression" dxfId="67" priority="44">
      <formula>AND(NOT(ISBLANK(E35)),NOT(ISNUMBER(E35)))</formula>
    </cfRule>
    <cfRule type="expression" dxfId="66" priority="47">
      <formula>$D35="No"</formula>
    </cfRule>
    <cfRule type="cellIs" dxfId="65" priority="56" stopIfTrue="1" operator="equal">
      <formula>0</formula>
    </cfRule>
    <cfRule type="cellIs" dxfId="64" priority="57" stopIfTrue="1" operator="lessThan">
      <formula>0.01</formula>
    </cfRule>
    <cfRule type="cellIs" dxfId="63" priority="58" stopIfTrue="1" operator="greaterThanOrEqual">
      <formula>1000</formula>
    </cfRule>
    <cfRule type="cellIs" dxfId="62" priority="138" stopIfTrue="1" operator="greaterThanOrEqual">
      <formula>1000000</formula>
    </cfRule>
  </conditionalFormatting>
  <dataValidations disablePrompts="1" count="2">
    <dataValidation type="list" showInputMessage="1" showErrorMessage="1" errorTitle="Entry Required" error="You must select either &quot;Yes&quot; or &quot;No&quot;" prompt="Select &quot;Yes&quot; if you agree to limit emissions from this unit.  Select &quot;No&quot; if you do not agree to an emission limit for this unit." sqref="D10:D14" xr:uid="{00000000-0002-0000-0F00-000000000000}">
      <formula1>$Y$22:$Y$23</formula1>
    </dataValidation>
    <dataValidation type="list" errorStyle="warning" showInputMessage="1" showErrorMessage="1" errorTitle="Entry Required" error="You must select either &quot;Yes&quot; or &quot;No&quot;" prompt="Select &quot;Yes&quot; if you agree to limit emissions from this unit.  Select &quot;No&quot; if you do not agree to an emission limit for this unit." sqref="D35:D57" xr:uid="{00000000-0002-0000-0F00-000001000000}">
      <formula1>$Y$22:$Y$23</formula1>
    </dataValidation>
  </dataValidations>
  <printOptions horizontalCentered="1"/>
  <pageMargins left="0.5" right="0.5" top="0.5" bottom="0.5" header="0.3" footer="0.3"/>
  <pageSetup scale="73" fitToHeight="0" orientation="landscape" r:id="rId1"/>
  <headerFooter>
    <oddFooter>&amp;L&amp;A&amp;RPage &amp;P</oddFooter>
  </headerFooter>
  <rowBreaks count="1" manualBreakCount="1">
    <brk id="28"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3</xdr:col>
                    <xdr:colOff>28575</xdr:colOff>
                    <xdr:row>21</xdr:row>
                    <xdr:rowOff>152400</xdr:rowOff>
                  </from>
                  <to>
                    <xdr:col>3</xdr:col>
                    <xdr:colOff>781050</xdr:colOff>
                    <xdr:row>21</xdr:row>
                    <xdr:rowOff>371475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3</xdr:col>
                    <xdr:colOff>28575</xdr:colOff>
                    <xdr:row>22</xdr:row>
                    <xdr:rowOff>152400</xdr:rowOff>
                  </from>
                  <to>
                    <xdr:col>3</xdr:col>
                    <xdr:colOff>781050</xdr:colOff>
                    <xdr:row>22</xdr:row>
                    <xdr:rowOff>371475</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3</xdr:col>
                    <xdr:colOff>28575</xdr:colOff>
                    <xdr:row>26</xdr:row>
                    <xdr:rowOff>219075</xdr:rowOff>
                  </from>
                  <to>
                    <xdr:col>3</xdr:col>
                    <xdr:colOff>781050</xdr:colOff>
                    <xdr:row>26</xdr:row>
                    <xdr:rowOff>438150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3</xdr:col>
                    <xdr:colOff>28575</xdr:colOff>
                    <xdr:row>27</xdr:row>
                    <xdr:rowOff>219075</xdr:rowOff>
                  </from>
                  <to>
                    <xdr:col>3</xdr:col>
                    <xdr:colOff>781050</xdr:colOff>
                    <xdr:row>27</xdr:row>
                    <xdr:rowOff>438150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002060"/>
  </sheetPr>
  <dimension ref="A1:BR92"/>
  <sheetViews>
    <sheetView showGridLines="0" zoomScaleNormal="100" workbookViewId="0">
      <selection sqref="A1:M1"/>
    </sheetView>
  </sheetViews>
  <sheetFormatPr defaultRowHeight="14.25" x14ac:dyDescent="0.25"/>
  <cols>
    <col min="1" max="1" width="11.28515625" style="131" customWidth="1"/>
    <col min="2" max="2" width="17.7109375" style="48" customWidth="1"/>
    <col min="3" max="3" width="15.7109375" style="48" customWidth="1"/>
    <col min="4" max="4" width="12.85546875" style="48" customWidth="1"/>
    <col min="5" max="13" width="12.7109375" style="48" customWidth="1"/>
    <col min="14" max="14" width="4.28515625" style="48" customWidth="1"/>
    <col min="15" max="15" width="10.140625" style="48" bestFit="1" customWidth="1"/>
    <col min="16" max="16" width="9.140625" style="48"/>
    <col min="17" max="39" width="10.7109375" style="48" customWidth="1"/>
    <col min="40" max="40" width="40.42578125" style="48" bestFit="1" customWidth="1"/>
    <col min="41" max="50" width="9.7109375" style="48" customWidth="1"/>
    <col min="51" max="65" width="9.140625" style="48"/>
    <col min="66" max="66" width="12.140625" style="48" customWidth="1"/>
    <col min="67" max="16384" width="9.140625" style="48"/>
  </cols>
  <sheetData>
    <row r="1" spans="1:70" s="69" customFormat="1" ht="26.25" customHeight="1" thickBot="1" x14ac:dyDescent="0.3">
      <c r="A1" s="1255" t="s">
        <v>2152</v>
      </c>
      <c r="B1" s="1255"/>
      <c r="C1" s="1255"/>
      <c r="D1" s="1255"/>
      <c r="E1" s="1255"/>
      <c r="F1" s="1255"/>
      <c r="G1" s="1255"/>
      <c r="H1" s="1255"/>
      <c r="I1" s="1255"/>
      <c r="J1" s="1255"/>
      <c r="K1" s="1255"/>
      <c r="L1" s="1255"/>
      <c r="M1" s="1255"/>
    </row>
    <row r="2" spans="1:70" s="68" customFormat="1" ht="50.1" customHeight="1" x14ac:dyDescent="0.25">
      <c r="A2" s="1257" t="s">
        <v>1587</v>
      </c>
      <c r="B2" s="1257"/>
      <c r="C2" s="1257"/>
      <c r="D2" s="1257"/>
      <c r="E2" s="1257"/>
      <c r="F2" s="1257"/>
      <c r="G2" s="1257"/>
      <c r="H2" s="1257"/>
      <c r="I2" s="1257"/>
      <c r="J2" s="1257"/>
      <c r="K2" s="1257"/>
      <c r="L2" s="1257"/>
      <c r="M2" s="1257"/>
    </row>
    <row r="3" spans="1:70" s="68" customFormat="1" ht="35.1" customHeight="1" x14ac:dyDescent="0.25">
      <c r="A3" s="1469" t="s">
        <v>1588</v>
      </c>
      <c r="B3" s="1321"/>
      <c r="C3" s="1321"/>
      <c r="D3" s="1321"/>
      <c r="E3" s="1321"/>
      <c r="F3" s="1321"/>
      <c r="G3" s="1321"/>
      <c r="H3" s="1321"/>
      <c r="I3" s="1321"/>
      <c r="J3" s="1321"/>
      <c r="K3" s="1321"/>
      <c r="L3" s="1321"/>
      <c r="M3" s="1321"/>
    </row>
    <row r="4" spans="1:70" s="68" customFormat="1" ht="9.9499999999999993" customHeight="1" x14ac:dyDescent="0.25">
      <c r="A4" s="1470"/>
      <c r="B4" s="1470"/>
      <c r="C4" s="1470"/>
      <c r="D4" s="1470"/>
      <c r="E4" s="1470"/>
      <c r="F4" s="1470"/>
      <c r="G4" s="1470"/>
      <c r="H4" s="1470"/>
      <c r="I4" s="1470"/>
      <c r="J4" s="1470"/>
      <c r="K4" s="1470"/>
      <c r="L4" s="1470"/>
      <c r="M4" s="1470"/>
    </row>
    <row r="5" spans="1:70" s="68" customFormat="1" ht="35.1" customHeight="1" thickBot="1" x14ac:dyDescent="0.3">
      <c r="A5" s="1277"/>
      <c r="B5" s="1277"/>
      <c r="C5" s="1277"/>
      <c r="D5" s="1277"/>
      <c r="E5" s="1277"/>
      <c r="F5" s="1277"/>
      <c r="G5" s="1277"/>
      <c r="H5" s="1277"/>
      <c r="I5" s="1277"/>
      <c r="J5" s="1277"/>
      <c r="K5" s="1277"/>
      <c r="L5" s="1277"/>
      <c r="M5" s="1277"/>
    </row>
    <row r="6" spans="1:70" s="77" customFormat="1" ht="19.5" thickBot="1" x14ac:dyDescent="0.3">
      <c r="A6" s="1211" t="s">
        <v>1422</v>
      </c>
      <c r="B6" s="1211"/>
      <c r="C6" s="1211"/>
      <c r="D6" s="1211"/>
      <c r="E6" s="1211"/>
      <c r="F6" s="1211"/>
      <c r="G6" s="1211"/>
      <c r="H6" s="1211"/>
      <c r="I6" s="1211"/>
      <c r="J6" s="1211"/>
      <c r="K6" s="1211"/>
      <c r="L6" s="1211"/>
      <c r="M6" s="1211"/>
    </row>
    <row r="7" spans="1:70" ht="60" customHeight="1" x14ac:dyDescent="0.25">
      <c r="A7" s="1468"/>
      <c r="B7" s="1468"/>
      <c r="C7" s="1468"/>
      <c r="D7" s="1468"/>
      <c r="E7" s="1468"/>
      <c r="F7" s="1468"/>
      <c r="G7" s="1468"/>
      <c r="H7" s="1468"/>
      <c r="I7" s="1468"/>
      <c r="J7" s="1468"/>
      <c r="K7" s="1468"/>
      <c r="L7" s="1468"/>
      <c r="M7" s="1468"/>
    </row>
    <row r="8" spans="1:70" ht="24.95" customHeight="1" x14ac:dyDescent="0.25">
      <c r="A8" s="1347" t="s">
        <v>1408</v>
      </c>
      <c r="B8" s="1347"/>
      <c r="C8" s="1347"/>
      <c r="D8" s="1347"/>
      <c r="E8" s="1347"/>
      <c r="F8" s="1347"/>
      <c r="G8" s="1347"/>
      <c r="H8" s="1347"/>
      <c r="I8" s="1347"/>
      <c r="J8" s="1347"/>
      <c r="K8" s="1347"/>
      <c r="L8" s="1347"/>
      <c r="M8" s="1347"/>
    </row>
    <row r="9" spans="1:70" ht="24.95" customHeight="1" thickBot="1" x14ac:dyDescent="0.25">
      <c r="A9" s="1002" t="s">
        <v>2153</v>
      </c>
      <c r="B9" s="1002"/>
      <c r="C9" s="1002"/>
      <c r="D9" s="1002"/>
      <c r="E9" s="1002"/>
      <c r="F9" s="1002"/>
      <c r="G9" s="1002"/>
      <c r="H9" s="1002"/>
      <c r="I9" s="1002"/>
      <c r="J9" s="1002"/>
      <c r="K9" s="1002"/>
      <c r="L9" s="1002"/>
      <c r="M9" s="1002"/>
      <c r="AM9" s="770">
        <v>1</v>
      </c>
      <c r="AN9" s="770">
        <v>2</v>
      </c>
      <c r="AO9" s="770">
        <v>3</v>
      </c>
      <c r="AP9" s="770">
        <v>4</v>
      </c>
      <c r="AQ9" s="770">
        <v>5</v>
      </c>
      <c r="AR9" s="770">
        <v>6</v>
      </c>
      <c r="AS9" s="770">
        <v>7</v>
      </c>
      <c r="AT9" s="770">
        <v>8</v>
      </c>
      <c r="AU9" s="770">
        <v>9</v>
      </c>
      <c r="AV9" s="770">
        <v>10</v>
      </c>
      <c r="AW9" s="770">
        <v>11</v>
      </c>
      <c r="AX9" s="770">
        <v>12</v>
      </c>
      <c r="AY9" s="770">
        <v>13</v>
      </c>
    </row>
    <row r="10" spans="1:70" s="130" customFormat="1" ht="30" customHeight="1" thickBot="1" x14ac:dyDescent="0.3">
      <c r="A10" s="1346" t="s">
        <v>1589</v>
      </c>
      <c r="B10" s="1346"/>
      <c r="C10" s="1346"/>
      <c r="D10" s="1346"/>
      <c r="E10" s="1346"/>
      <c r="F10" s="1346"/>
      <c r="G10" s="1346"/>
      <c r="H10" s="1346"/>
      <c r="I10" s="1346"/>
      <c r="J10" s="1346"/>
      <c r="K10" s="1346"/>
      <c r="L10" s="1346"/>
      <c r="M10" s="843" t="str">
        <f>"Ver."&amp;" "&amp;TEXT(Introduction!$M$3,"MM/YYYY")</f>
        <v>Ver. 01/2025</v>
      </c>
      <c r="P10" s="48"/>
      <c r="Q10" s="48"/>
      <c r="R10" s="48"/>
      <c r="S10" s="1221" t="s">
        <v>2324</v>
      </c>
      <c r="T10" s="1342"/>
      <c r="U10" s="1342"/>
      <c r="V10" s="1342"/>
      <c r="W10" s="1342"/>
      <c r="X10" s="1342"/>
      <c r="Y10" s="1342"/>
      <c r="Z10" s="1342"/>
      <c r="AA10" s="1222"/>
      <c r="AC10" s="1221" t="s">
        <v>2325</v>
      </c>
      <c r="AD10" s="1342"/>
      <c r="AE10" s="1342"/>
      <c r="AF10" s="1342"/>
      <c r="AG10" s="1342"/>
      <c r="AH10" s="1342"/>
      <c r="AI10" s="1342"/>
      <c r="AJ10" s="1342"/>
      <c r="AK10" s="1222"/>
      <c r="AM10" s="1221" t="s">
        <v>2011</v>
      </c>
      <c r="AN10" s="1342"/>
      <c r="AO10" s="1342"/>
      <c r="AP10" s="1342"/>
      <c r="AQ10" s="1342"/>
      <c r="AR10" s="1342"/>
      <c r="AS10" s="1342"/>
      <c r="AT10" s="1342"/>
      <c r="AU10" s="1342"/>
      <c r="AV10" s="1342"/>
      <c r="AW10" s="1342"/>
      <c r="AX10" s="1342"/>
      <c r="AY10" s="1222"/>
    </row>
    <row r="11" spans="1:70" ht="44.25" thickBot="1" x14ac:dyDescent="0.3">
      <c r="A11" s="801" t="s">
        <v>270</v>
      </c>
      <c r="B11" s="802" t="s">
        <v>271</v>
      </c>
      <c r="C11" s="802" t="s">
        <v>1572</v>
      </c>
      <c r="D11" s="802" t="s">
        <v>1555</v>
      </c>
      <c r="E11" s="803" t="s">
        <v>26</v>
      </c>
      <c r="F11" s="800" t="s">
        <v>30</v>
      </c>
      <c r="G11" s="800" t="s">
        <v>3</v>
      </c>
      <c r="H11" s="800" t="s">
        <v>4</v>
      </c>
      <c r="I11" s="800" t="s">
        <v>0</v>
      </c>
      <c r="J11" s="800" t="s">
        <v>5</v>
      </c>
      <c r="K11" s="800" t="s">
        <v>2348</v>
      </c>
      <c r="L11" s="800" t="s">
        <v>24</v>
      </c>
      <c r="M11" s="804" t="s">
        <v>25</v>
      </c>
      <c r="S11" s="583" t="s">
        <v>26</v>
      </c>
      <c r="T11" s="110" t="s">
        <v>30</v>
      </c>
      <c r="U11" s="110" t="s">
        <v>3</v>
      </c>
      <c r="V11" s="110" t="s">
        <v>4</v>
      </c>
      <c r="W11" s="110" t="s">
        <v>0</v>
      </c>
      <c r="X11" s="110" t="s">
        <v>5</v>
      </c>
      <c r="Y11" s="110" t="s">
        <v>2348</v>
      </c>
      <c r="Z11" s="110" t="s">
        <v>24</v>
      </c>
      <c r="AA11" s="111" t="s">
        <v>25</v>
      </c>
      <c r="AC11" s="583" t="s">
        <v>26</v>
      </c>
      <c r="AD11" s="110" t="s">
        <v>30</v>
      </c>
      <c r="AE11" s="110" t="s">
        <v>3</v>
      </c>
      <c r="AF11" s="110" t="s">
        <v>4</v>
      </c>
      <c r="AG11" s="110" t="s">
        <v>0</v>
      </c>
      <c r="AH11" s="110" t="s">
        <v>5</v>
      </c>
      <c r="AI11" s="110" t="s">
        <v>2348</v>
      </c>
      <c r="AJ11" s="110" t="s">
        <v>24</v>
      </c>
      <c r="AK11" s="111" t="s">
        <v>25</v>
      </c>
      <c r="AM11" s="773" t="s">
        <v>271</v>
      </c>
      <c r="AN11" s="774" t="s">
        <v>2010</v>
      </c>
      <c r="AO11" s="775" t="s">
        <v>26</v>
      </c>
      <c r="AP11" s="776" t="s">
        <v>30</v>
      </c>
      <c r="AQ11" s="777" t="s">
        <v>3</v>
      </c>
      <c r="AR11" s="777" t="s">
        <v>4</v>
      </c>
      <c r="AS11" s="777" t="s">
        <v>0</v>
      </c>
      <c r="AT11" s="777" t="s">
        <v>5</v>
      </c>
      <c r="AU11" s="778" t="s">
        <v>1798</v>
      </c>
      <c r="AV11" s="777" t="s">
        <v>24</v>
      </c>
      <c r="AW11" s="779" t="s">
        <v>25</v>
      </c>
      <c r="AX11" s="779" t="s">
        <v>2285</v>
      </c>
      <c r="AY11" s="780" t="s">
        <v>2344</v>
      </c>
      <c r="BH11" s="130"/>
      <c r="BI11" s="130"/>
      <c r="BJ11" s="130"/>
      <c r="BK11" s="130"/>
      <c r="BL11" s="130"/>
      <c r="BM11" s="130"/>
      <c r="BN11" s="130"/>
      <c r="BO11" s="130"/>
      <c r="BP11" s="130"/>
      <c r="BQ11" s="130"/>
      <c r="BR11" s="130"/>
    </row>
    <row r="12" spans="1:70" ht="18" customHeight="1" x14ac:dyDescent="0.25">
      <c r="A12" s="1446" t="str">
        <f>IF('Table 5-A| Primary MPTE'!A44=0,0,'Table 5-A| Primary MPTE'!A44)</f>
        <v>Boiler Emission Units</v>
      </c>
      <c r="B12" s="1447" t="str">
        <f>IF('Table 3-A| Emission Units'!$A102=0,"",'Table 3-A| Emission Units'!$A102&amp;"-"&amp;'Table 3-A| Emission Units'!$B102)</f>
        <v>Boiler Emission Units-</v>
      </c>
      <c r="C12" s="1447" t="str">
        <f>IF('Table 3-A| Emission Units'!$A102=0,"",'Table 3-A| Emission Units'!$A102&amp;"-"&amp;'Table 3-A| Emission Units'!$B102)</f>
        <v>Boiler Emission Units-</v>
      </c>
      <c r="D12" s="1447" t="str">
        <f>IF('Table 3-A| Emission Units'!$A102=0,"",'Table 3-A| Emission Units'!$A102&amp;"-"&amp;'Table 3-A| Emission Units'!$B102)</f>
        <v>Boiler Emission Units-</v>
      </c>
      <c r="E12" s="1447" t="str">
        <f>IF('Table 3-A| Emission Units'!$A102=0,"",'Table 3-A| Emission Units'!$A102&amp;"-"&amp;'Table 3-A| Emission Units'!$B102)</f>
        <v>Boiler Emission Units-</v>
      </c>
      <c r="F12" s="1447" t="str">
        <f>IF('Table 3-A| Emission Units'!$A102=0,"",'Table 3-A| Emission Units'!$A102&amp;"-"&amp;'Table 3-A| Emission Units'!$B102)</f>
        <v>Boiler Emission Units-</v>
      </c>
      <c r="G12" s="1447" t="str">
        <f>IF('Table 3-A| Emission Units'!$A102=0,"",'Table 3-A| Emission Units'!$A102&amp;"-"&amp;'Table 3-A| Emission Units'!$B102)</f>
        <v>Boiler Emission Units-</v>
      </c>
      <c r="H12" s="1447" t="str">
        <f>IF('Table 3-A| Emission Units'!$A102=0,"",'Table 3-A| Emission Units'!$A102&amp;"-"&amp;'Table 3-A| Emission Units'!$B102)</f>
        <v>Boiler Emission Units-</v>
      </c>
      <c r="I12" s="1447" t="str">
        <f>IF('Table 3-A| Emission Units'!$A102=0,"",'Table 3-A| Emission Units'!$A102&amp;"-"&amp;'Table 3-A| Emission Units'!$B102)</f>
        <v>Boiler Emission Units-</v>
      </c>
      <c r="J12" s="1447" t="str">
        <f>IF('Table 3-A| Emission Units'!$A102=0,"",'Table 3-A| Emission Units'!$A102&amp;"-"&amp;'Table 3-A| Emission Units'!$B102)</f>
        <v>Boiler Emission Units-</v>
      </c>
      <c r="K12" s="1447" t="str">
        <f>IF('Table 3-A| Emission Units'!$A102=0,"",'Table 3-A| Emission Units'!$A102&amp;"-"&amp;'Table 3-A| Emission Units'!$B102)</f>
        <v>Boiler Emission Units-</v>
      </c>
      <c r="L12" s="1447" t="str">
        <f>IF('Table 3-A| Emission Units'!$A102=0,"",'Table 3-A| Emission Units'!$A102&amp;"-"&amp;'Table 3-A| Emission Units'!$B102)</f>
        <v>Boiler Emission Units-</v>
      </c>
      <c r="M12" s="1448" t="str">
        <f>IF('Table 3-A| Emission Units'!$A102=0,"",'Table 3-A| Emission Units'!$A102&amp;"-"&amp;'Table 3-A| Emission Units'!$B102)</f>
        <v>Boiler Emission Units-</v>
      </c>
      <c r="S12" s="1338"/>
      <c r="T12" s="1339"/>
      <c r="U12" s="1339"/>
      <c r="V12" s="1339"/>
      <c r="W12" s="1339"/>
      <c r="X12" s="1339"/>
      <c r="Y12" s="1339"/>
      <c r="Z12" s="1339"/>
      <c r="AA12" s="1340"/>
      <c r="AC12" s="1338"/>
      <c r="AD12" s="1339"/>
      <c r="AE12" s="1339"/>
      <c r="AF12" s="1339"/>
      <c r="AG12" s="1339"/>
      <c r="AH12" s="1339"/>
      <c r="AI12" s="1339"/>
      <c r="AJ12" s="1339"/>
      <c r="AK12" s="1340"/>
      <c r="AM12" s="66">
        <v>10200204</v>
      </c>
      <c r="AN12" s="68" t="s">
        <v>2316</v>
      </c>
      <c r="AO12" s="761">
        <v>18.72</v>
      </c>
      <c r="AP12" s="761">
        <v>7.4399999999999995</v>
      </c>
      <c r="AQ12" s="762">
        <v>5.2459016393442623E-2</v>
      </c>
      <c r="AR12" s="763">
        <v>49.92</v>
      </c>
      <c r="AS12" s="762">
        <v>6.5573770491803282E-2</v>
      </c>
      <c r="AT12" s="762">
        <v>6.48</v>
      </c>
      <c r="AU12" s="762">
        <v>6013.4438399999999</v>
      </c>
      <c r="AV12" s="629">
        <v>1.2167999999999998E-2</v>
      </c>
      <c r="AW12" s="629">
        <v>1.839744</v>
      </c>
      <c r="AX12" s="756" t="s">
        <v>2333</v>
      </c>
      <c r="AY12" s="781">
        <v>24</v>
      </c>
      <c r="AZ12" s="1329" t="s">
        <v>2329</v>
      </c>
      <c r="BA12" s="1330"/>
      <c r="BB12" s="1330"/>
      <c r="BC12" s="1330"/>
      <c r="BD12" s="1330"/>
      <c r="BE12" s="1330"/>
      <c r="BF12" s="1331"/>
      <c r="BH12" s="130"/>
      <c r="BI12" s="130"/>
      <c r="BJ12" s="130"/>
      <c r="BK12" s="130"/>
      <c r="BL12" s="130"/>
      <c r="BM12" s="130"/>
      <c r="BN12" s="130"/>
      <c r="BO12" s="130"/>
      <c r="BP12" s="130"/>
      <c r="BQ12" s="130"/>
      <c r="BR12" s="130"/>
    </row>
    <row r="13" spans="1:70" ht="18" customHeight="1" x14ac:dyDescent="0.25">
      <c r="A13" s="302">
        <f>'Table 5-A| Primary MPTE'!A45</f>
        <v>0</v>
      </c>
      <c r="B13" s="303">
        <f ca="1">'Table 5-A| Primary MPTE'!B45</f>
        <v>0</v>
      </c>
      <c r="C13" s="305">
        <f ca="1">IFERROR(IF('Table 6-A| Controls &amp; Limits'!C21="Yes",'Table 6-A| Controls &amp; Limits'!E21,'Table 6-A| Controls &amp; Limits'!D21),0)</f>
        <v>0</v>
      </c>
      <c r="D13" s="391">
        <f ca="1">IFERROR(VLOOKUP($B13,$AM$12:$AX$75,12,FALSE),0)</f>
        <v>0</v>
      </c>
      <c r="E13" s="1358">
        <f ca="1">LARGE(S13:S15,1)</f>
        <v>0</v>
      </c>
      <c r="F13" s="1361">
        <f t="shared" ref="F13:M13" ca="1" si="0">LARGE(T13:T15,1)</f>
        <v>0</v>
      </c>
      <c r="G13" s="1361">
        <f t="shared" ca="1" si="0"/>
        <v>0</v>
      </c>
      <c r="H13" s="1361">
        <f t="shared" ca="1" si="0"/>
        <v>0</v>
      </c>
      <c r="I13" s="1361">
        <f t="shared" ca="1" si="0"/>
        <v>0</v>
      </c>
      <c r="J13" s="1361">
        <f t="shared" ca="1" si="0"/>
        <v>0</v>
      </c>
      <c r="K13" s="1361">
        <f t="shared" ca="1" si="0"/>
        <v>0</v>
      </c>
      <c r="L13" s="1361">
        <f t="shared" ca="1" si="0"/>
        <v>0</v>
      </c>
      <c r="M13" s="1343">
        <f t="shared" ca="1" si="0"/>
        <v>0</v>
      </c>
      <c r="S13" s="587">
        <f ca="1">IFERROR($C13*AC13,0)</f>
        <v>0</v>
      </c>
      <c r="T13" s="585">
        <f t="shared" ref="T13:T27" ca="1" si="1">IFERROR($C13*AD13,0)</f>
        <v>0</v>
      </c>
      <c r="U13" s="585">
        <f t="shared" ref="U13:U27" ca="1" si="2">IFERROR($C13*AE13,0)</f>
        <v>0</v>
      </c>
      <c r="V13" s="585">
        <f t="shared" ref="V13:V27" ca="1" si="3">IFERROR($C13*AF13,0)</f>
        <v>0</v>
      </c>
      <c r="W13" s="585">
        <f t="shared" ref="W13:W27" ca="1" si="4">IFERROR($C13*AG13,0)</f>
        <v>0</v>
      </c>
      <c r="X13" s="585">
        <f t="shared" ref="X13:X27" ca="1" si="5">IFERROR($C13*AH13,0)</f>
        <v>0</v>
      </c>
      <c r="Y13" s="585">
        <f t="shared" ref="Y13:Y27" ca="1" si="6">IFERROR($C13*AI13,0)</f>
        <v>0</v>
      </c>
      <c r="Z13" s="585">
        <f t="shared" ref="Z13:Z27" ca="1" si="7">IFERROR($C13*AJ13,0)</f>
        <v>0</v>
      </c>
      <c r="AA13" s="588">
        <f t="shared" ref="AA13:AA27" ca="1" si="8">IFERROR($C13*AK13,0)</f>
        <v>0</v>
      </c>
      <c r="AC13" s="587">
        <f ca="1">IFERROR(IF(OR($B13=$AM$13,$B13=$AM$15,$B13=$AM$30,$B13=$AM$32),VLOOKUP($B13,$AM$12:$AX$75,3,FALSE)*'Table 3-A| Emission Units'!$G$15,VLOOKUP($B13,$AM$12:$AX$75,3,FALSE)),0)</f>
        <v>0</v>
      </c>
      <c r="AD13" s="585">
        <f ca="1">IFERROR(IF(OR($B13=$AM$13,$B13=$AM$15,$B13=$AM$30,$B13=$AM$32),VLOOKUP($B13,$AM$12:$AX$75,4,FALSE)*'Table 3-A| Emission Units'!$G$15,VLOOKUP($B13,$AM$12:$AX$75,4,FALSE)),0)</f>
        <v>0</v>
      </c>
      <c r="AE13" s="585">
        <f ca="1">IFERROR(VLOOKUP($B13,$AM$12:$AX$75,5,FALSE),0)</f>
        <v>0</v>
      </c>
      <c r="AF13" s="585">
        <f ca="1">IFERROR(IF(OR($B13=$AM$13,$B13=$AM$15,$B13=$AM$30,$B13=$AM$32),VLOOKUP($B13,$AM$12:$AX$75,6,FALSE)*'Table 3-A| Emission Units'!$H$15,VLOOKUP($B13,$AM$12:$AX$75,6,FALSE)),0)</f>
        <v>0</v>
      </c>
      <c r="AG13" s="585">
        <f ca="1">IFERROR(VLOOKUP($B13,$AM$12:$AX$75,7,FALSE),0)</f>
        <v>0</v>
      </c>
      <c r="AH13" s="585">
        <f ca="1">IFERROR(VLOOKUP($B13,$AM$12:$AX$75,8,FALSE),0)</f>
        <v>0</v>
      </c>
      <c r="AI13" s="585">
        <f ca="1">IFERROR(VLOOKUP($B13,$AM$12:$AX$75,9,FALSE),0)</f>
        <v>0</v>
      </c>
      <c r="AJ13" s="585">
        <f ca="1">IFERROR(VLOOKUP($B13,$AM$12:$AX$75,10,FALSE),0)</f>
        <v>0</v>
      </c>
      <c r="AK13" s="588">
        <f ca="1">IFERROR(VLOOKUP($B13,$AM$12:$AX$75,11,FALSE),0)</f>
        <v>0</v>
      </c>
      <c r="AM13" s="66">
        <v>10200219</v>
      </c>
      <c r="AN13" s="68" t="s">
        <v>2312</v>
      </c>
      <c r="AO13" s="764">
        <v>2.3040000000000003</v>
      </c>
      <c r="AP13" s="764">
        <v>0.60000000000000009</v>
      </c>
      <c r="AQ13" s="762">
        <v>15.120000000000001</v>
      </c>
      <c r="AR13" s="763">
        <v>39</v>
      </c>
      <c r="AS13" s="762">
        <v>7.0000000000000007E-2</v>
      </c>
      <c r="AT13" s="762">
        <v>0.72</v>
      </c>
      <c r="AU13" s="762">
        <v>6013.4438399999999</v>
      </c>
      <c r="AV13" s="629">
        <v>4.1999999999999996E-4</v>
      </c>
      <c r="AW13" s="629">
        <v>1.3620000000000001</v>
      </c>
      <c r="AX13" s="757" t="s">
        <v>2333</v>
      </c>
      <c r="AY13" s="781">
        <v>24</v>
      </c>
      <c r="AZ13" s="1332" t="s">
        <v>2330</v>
      </c>
      <c r="BA13" s="1333"/>
      <c r="BB13" s="1333"/>
      <c r="BC13" s="1333"/>
      <c r="BD13" s="1333"/>
      <c r="BE13" s="1333"/>
      <c r="BF13" s="1334"/>
      <c r="BH13" s="130"/>
      <c r="BI13" s="130"/>
      <c r="BJ13" s="130"/>
      <c r="BK13" s="130"/>
      <c r="BL13" s="130"/>
      <c r="BM13" s="130"/>
      <c r="BN13" s="130"/>
      <c r="BO13" s="130"/>
      <c r="BP13" s="130"/>
      <c r="BQ13" s="130"/>
      <c r="BR13" s="130"/>
    </row>
    <row r="14" spans="1:70" ht="18" customHeight="1" x14ac:dyDescent="0.25">
      <c r="A14" s="302">
        <f>'Table 5-A| Primary MPTE'!A46</f>
        <v>0</v>
      </c>
      <c r="B14" s="303">
        <f ca="1">'Table 5-A| Primary MPTE'!B46</f>
        <v>0</v>
      </c>
      <c r="C14" s="305">
        <f ca="1">IFERROR(IF('Table 6-A| Controls &amp; Limits'!C22="Yes",'Table 6-A| Controls &amp; Limits'!E22,'Table 6-A| Controls &amp; Limits'!D22),0)</f>
        <v>0</v>
      </c>
      <c r="D14" s="391">
        <f t="shared" ref="D14:D27" ca="1" si="9">IFERROR(VLOOKUP($B14,$AM$12:$AX$75,12,FALSE),0)</f>
        <v>0</v>
      </c>
      <c r="E14" s="1359"/>
      <c r="F14" s="1362"/>
      <c r="G14" s="1362"/>
      <c r="H14" s="1362"/>
      <c r="I14" s="1362"/>
      <c r="J14" s="1362"/>
      <c r="K14" s="1362"/>
      <c r="L14" s="1362"/>
      <c r="M14" s="1344"/>
      <c r="S14" s="587">
        <f t="shared" ref="S14:S27" ca="1" si="10">IFERROR($C14*AC14,0)</f>
        <v>0</v>
      </c>
      <c r="T14" s="585">
        <f t="shared" ca="1" si="1"/>
        <v>0</v>
      </c>
      <c r="U14" s="585">
        <f t="shared" ca="1" si="2"/>
        <v>0</v>
      </c>
      <c r="V14" s="585">
        <f t="shared" ca="1" si="3"/>
        <v>0</v>
      </c>
      <c r="W14" s="585">
        <f t="shared" ca="1" si="4"/>
        <v>0</v>
      </c>
      <c r="X14" s="585">
        <f t="shared" ca="1" si="5"/>
        <v>0</v>
      </c>
      <c r="Y14" s="585">
        <f t="shared" ca="1" si="6"/>
        <v>0</v>
      </c>
      <c r="Z14" s="585">
        <f t="shared" ca="1" si="7"/>
        <v>0</v>
      </c>
      <c r="AA14" s="588">
        <f t="shared" ca="1" si="8"/>
        <v>0</v>
      </c>
      <c r="AC14" s="587">
        <f ca="1">IFERROR(IF(OR($B14=$AM$13,$B14=$AM$15,$B14=$AM$30,$B14=$AM$32),VLOOKUP($B14,$AM$12:$AX$75,3,FALSE)*'Table 3-A| Emission Units'!$G$15,VLOOKUP($B14,$AM$12:$AX$75,3,FALSE)),0)</f>
        <v>0</v>
      </c>
      <c r="AD14" s="585">
        <f ca="1">IFERROR(IF(OR($B14=$AM$13,$B14=$AM$15,$B14=$AM$30,$B14=$AM$32),VLOOKUP($B14,$AM$12:$AX$75,4,FALSE)*'Table 3-A| Emission Units'!$G$15,VLOOKUP($B14,$AM$12:$AX$75,4,FALSE)),0)</f>
        <v>0</v>
      </c>
      <c r="AE14" s="585">
        <f t="shared" ref="AE14:AE15" ca="1" si="11">IFERROR(VLOOKUP($B14,$AM$12:$AX$75,5,FALSE),0)</f>
        <v>0</v>
      </c>
      <c r="AF14" s="585">
        <f ca="1">IFERROR(IF(OR($B14=$AM$13,$B14=$AM$15,$B14=$AM$30,$B14=$AM$32),VLOOKUP($B14,$AM$12:$AX$75,6,FALSE)*'Table 3-A| Emission Units'!$H$15,VLOOKUP($B14,$AM$12:$AX$75,6,FALSE)),0)</f>
        <v>0</v>
      </c>
      <c r="AG14" s="585">
        <f t="shared" ref="AG14:AG27" ca="1" si="12">IFERROR(VLOOKUP($B14,$AM$12:$AX$75,7,FALSE),0)</f>
        <v>0</v>
      </c>
      <c r="AH14" s="585">
        <f t="shared" ref="AH14:AH27" ca="1" si="13">IFERROR(VLOOKUP($B14,$AM$12:$AX$75,8,FALSE),0)</f>
        <v>0</v>
      </c>
      <c r="AI14" s="585">
        <f t="shared" ref="AI14:AI27" ca="1" si="14">IFERROR(VLOOKUP($B14,$AM$12:$AX$75,9,FALSE),0)</f>
        <v>0</v>
      </c>
      <c r="AJ14" s="585">
        <f t="shared" ref="AJ14:AJ27" ca="1" si="15">IFERROR(VLOOKUP($B14,$AM$12:$AX$75,10,FALSE),0)</f>
        <v>0</v>
      </c>
      <c r="AK14" s="588">
        <f t="shared" ref="AK14:AK27" ca="1" si="16">IFERROR(VLOOKUP($B14,$AM$12:$AX$75,11,FALSE),0)</f>
        <v>0</v>
      </c>
      <c r="AM14" s="66">
        <v>10200224</v>
      </c>
      <c r="AN14" s="68" t="s">
        <v>2317</v>
      </c>
      <c r="AO14" s="762">
        <v>14.091000000000001</v>
      </c>
      <c r="AP14" s="762">
        <v>5.49</v>
      </c>
      <c r="AQ14" s="762">
        <v>8.7840000000000007</v>
      </c>
      <c r="AR14" s="763">
        <v>35.007899999999999</v>
      </c>
      <c r="AS14" s="762">
        <v>0.05</v>
      </c>
      <c r="AT14" s="762">
        <v>4.9410000000000007</v>
      </c>
      <c r="AU14" s="762">
        <v>4822.6835460000002</v>
      </c>
      <c r="AV14" s="629">
        <v>9.2780999999999992E-3</v>
      </c>
      <c r="AW14" s="629">
        <v>1.4028048000000002</v>
      </c>
      <c r="AX14" s="757" t="s">
        <v>2333</v>
      </c>
      <c r="AY14" s="781">
        <v>18.3</v>
      </c>
      <c r="BH14" s="130"/>
      <c r="BI14" s="130"/>
      <c r="BJ14" s="130"/>
      <c r="BK14" s="130"/>
      <c r="BL14" s="130"/>
      <c r="BM14" s="130"/>
      <c r="BN14" s="130"/>
      <c r="BO14" s="130"/>
      <c r="BP14" s="130"/>
      <c r="BQ14" s="130"/>
      <c r="BR14" s="130"/>
    </row>
    <row r="15" spans="1:70" ht="18" customHeight="1" thickBot="1" x14ac:dyDescent="0.3">
      <c r="A15" s="309">
        <f>'Table 5-A| Primary MPTE'!A47</f>
        <v>0</v>
      </c>
      <c r="B15" s="310">
        <f ca="1">'Table 5-A| Primary MPTE'!B47</f>
        <v>0</v>
      </c>
      <c r="C15" s="312">
        <f ca="1">IFERROR(IF('Table 6-A| Controls &amp; Limits'!C23="Yes",'Table 6-A| Controls &amp; Limits'!E23,'Table 6-A| Controls &amp; Limits'!D23),0)</f>
        <v>0</v>
      </c>
      <c r="D15" s="395">
        <f t="shared" ca="1" si="9"/>
        <v>0</v>
      </c>
      <c r="E15" s="1360"/>
      <c r="F15" s="1363"/>
      <c r="G15" s="1363"/>
      <c r="H15" s="1363"/>
      <c r="I15" s="1363"/>
      <c r="J15" s="1363"/>
      <c r="K15" s="1363"/>
      <c r="L15" s="1363"/>
      <c r="M15" s="1345"/>
      <c r="S15" s="591">
        <f t="shared" ca="1" si="10"/>
        <v>0</v>
      </c>
      <c r="T15" s="592">
        <f t="shared" ca="1" si="1"/>
        <v>0</v>
      </c>
      <c r="U15" s="592">
        <f t="shared" ca="1" si="2"/>
        <v>0</v>
      </c>
      <c r="V15" s="592">
        <f t="shared" ca="1" si="3"/>
        <v>0</v>
      </c>
      <c r="W15" s="592">
        <f t="shared" ca="1" si="4"/>
        <v>0</v>
      </c>
      <c r="X15" s="592">
        <f t="shared" ca="1" si="5"/>
        <v>0</v>
      </c>
      <c r="Y15" s="592">
        <f t="shared" ca="1" si="6"/>
        <v>0</v>
      </c>
      <c r="Z15" s="592">
        <f t="shared" ca="1" si="7"/>
        <v>0</v>
      </c>
      <c r="AA15" s="593">
        <f t="shared" ca="1" si="8"/>
        <v>0</v>
      </c>
      <c r="AC15" s="591">
        <f ca="1">IFERROR(IF(OR($B15=$AM$13,$B15=$AM$15,$B15=$AM$30,$B15=$AM$32),VLOOKUP($B15,$AM$12:$AX$75,3,FALSE)*'Table 3-A| Emission Units'!$G$15,VLOOKUP($B15,$AM$12:$AX$75,3,FALSE)),0)</f>
        <v>0</v>
      </c>
      <c r="AD15" s="592">
        <f ca="1">IFERROR(IF(OR($B15=$AM$13,$B15=$AM$15,$B15=$AM$30,$B15=$AM$32),VLOOKUP($B15,$AM$12:$AX$75,4,FALSE)*'Table 3-A| Emission Units'!$G$15,VLOOKUP($B15,$AM$12:$AX$75,4,FALSE)),0)</f>
        <v>0</v>
      </c>
      <c r="AE15" s="592">
        <f t="shared" ca="1" si="11"/>
        <v>0</v>
      </c>
      <c r="AF15" s="592">
        <f ca="1">IFERROR(IF(OR($B15=$AM$13,$B15=$AM$15,$B15=$AM$30,$B15=$AM$32),VLOOKUP($B15,$AM$12:$AX$75,6,FALSE)*'Table 3-A| Emission Units'!$H$15,VLOOKUP($B15,$AM$12:$AX$75,6,FALSE)),0)</f>
        <v>0</v>
      </c>
      <c r="AG15" s="592">
        <f t="shared" ca="1" si="12"/>
        <v>0</v>
      </c>
      <c r="AH15" s="592">
        <f t="shared" ca="1" si="13"/>
        <v>0</v>
      </c>
      <c r="AI15" s="592">
        <f t="shared" ca="1" si="14"/>
        <v>0</v>
      </c>
      <c r="AJ15" s="592">
        <f t="shared" ca="1" si="15"/>
        <v>0</v>
      </c>
      <c r="AK15" s="593">
        <f t="shared" ca="1" si="16"/>
        <v>0</v>
      </c>
      <c r="AM15" s="66">
        <v>10200229</v>
      </c>
      <c r="AN15" s="68" t="s">
        <v>2314</v>
      </c>
      <c r="AO15" s="764">
        <v>2.3058000000000001</v>
      </c>
      <c r="AP15" s="764">
        <v>0.6039000000000001</v>
      </c>
      <c r="AQ15" s="762">
        <v>14.457000000000001</v>
      </c>
      <c r="AR15" s="763">
        <v>35.007899999999999</v>
      </c>
      <c r="AS15" s="762">
        <v>0.06</v>
      </c>
      <c r="AT15" s="762">
        <v>0.54900000000000004</v>
      </c>
      <c r="AU15" s="762">
        <v>4822.6835460000002</v>
      </c>
      <c r="AV15" s="629">
        <v>4.199999999999991E-4</v>
      </c>
      <c r="AW15" s="629">
        <v>1.3615199999999998</v>
      </c>
      <c r="AX15" s="757" t="s">
        <v>2333</v>
      </c>
      <c r="AY15" s="781">
        <v>18.3</v>
      </c>
      <c r="AZ15" s="68"/>
      <c r="BA15" s="66"/>
      <c r="BB15" s="68"/>
      <c r="BH15" s="130"/>
      <c r="BI15" s="130"/>
      <c r="BJ15" s="130"/>
      <c r="BK15" s="130"/>
      <c r="BL15" s="130"/>
      <c r="BM15" s="130"/>
      <c r="BN15" s="130"/>
      <c r="BO15" s="130"/>
      <c r="BP15" s="130"/>
      <c r="BQ15" s="130"/>
      <c r="BR15" s="130"/>
    </row>
    <row r="16" spans="1:70" ht="18" customHeight="1" x14ac:dyDescent="0.25">
      <c r="A16" s="630">
        <f>'Table 5-A| Primary MPTE'!A48</f>
        <v>0</v>
      </c>
      <c r="B16" s="626">
        <f ca="1">'Table 5-A| Primary MPTE'!B48</f>
        <v>0</v>
      </c>
      <c r="C16" s="631">
        <f ca="1">IFERROR(IF('Table 6-A| Controls &amp; Limits'!C24="Yes",'Table 6-A| Controls &amp; Limits'!E24,'Table 6-A| Controls &amp; Limits'!D24),0)</f>
        <v>0</v>
      </c>
      <c r="D16" s="625">
        <f t="shared" ca="1" si="9"/>
        <v>0</v>
      </c>
      <c r="E16" s="1358">
        <f ca="1">LARGE(S16:S18,1)</f>
        <v>0</v>
      </c>
      <c r="F16" s="1361">
        <f t="shared" ref="F16" ca="1" si="17">LARGE(T16:T18,1)</f>
        <v>0</v>
      </c>
      <c r="G16" s="1361">
        <f t="shared" ref="G16" ca="1" si="18">LARGE(U16:U18,1)</f>
        <v>0</v>
      </c>
      <c r="H16" s="1361">
        <f t="shared" ref="H16" ca="1" si="19">LARGE(V16:V18,1)</f>
        <v>0</v>
      </c>
      <c r="I16" s="1361">
        <f t="shared" ref="I16" ca="1" si="20">LARGE(W16:W18,1)</f>
        <v>0</v>
      </c>
      <c r="J16" s="1361">
        <f t="shared" ref="J16" ca="1" si="21">LARGE(X16:X18,1)</f>
        <v>0</v>
      </c>
      <c r="K16" s="1361">
        <f t="shared" ref="K16" ca="1" si="22">LARGE(Y16:Y18,1)</f>
        <v>0</v>
      </c>
      <c r="L16" s="1361">
        <f t="shared" ref="L16" ca="1" si="23">LARGE(Z16:Z18,1)</f>
        <v>0</v>
      </c>
      <c r="M16" s="1343">
        <f t="shared" ref="M16" ca="1" si="24">LARGE(AA16:AA18,1)</f>
        <v>0</v>
      </c>
      <c r="S16" s="587">
        <f t="shared" ca="1" si="10"/>
        <v>0</v>
      </c>
      <c r="T16" s="585">
        <f t="shared" ca="1" si="1"/>
        <v>0</v>
      </c>
      <c r="U16" s="585">
        <f t="shared" ca="1" si="2"/>
        <v>0</v>
      </c>
      <c r="V16" s="585">
        <f t="shared" ca="1" si="3"/>
        <v>0</v>
      </c>
      <c r="W16" s="585">
        <f t="shared" ca="1" si="4"/>
        <v>0</v>
      </c>
      <c r="X16" s="585">
        <f t="shared" ca="1" si="5"/>
        <v>0</v>
      </c>
      <c r="Y16" s="585">
        <f t="shared" ca="1" si="6"/>
        <v>0</v>
      </c>
      <c r="Z16" s="585">
        <f t="shared" ca="1" si="7"/>
        <v>0</v>
      </c>
      <c r="AA16" s="588">
        <f t="shared" ca="1" si="8"/>
        <v>0</v>
      </c>
      <c r="AC16" s="587">
        <f ca="1">IFERROR(IF(OR($B16=$AM$13,$B16=$AM$15,$B16=$AM$30,$B16=$AM$32),VLOOKUP($B16,$AM$12:$AX$75,3,FALSE)*'Table 3-A| Emission Units'!$G$21,VLOOKUP($B16,$AM$12:$AX$75,3,FALSE)),0)</f>
        <v>0</v>
      </c>
      <c r="AD16" s="585">
        <f ca="1">IFERROR(IF(OR($B16=$AM$13,$B16=$AM$15,$B16=$AM$30,$B16=$AM$32),VLOOKUP($B16,$AM$12:$AX$75,4,FALSE)*'Table 3-A| Emission Units'!$G$21,VLOOKUP($B16,$AM$12:$AX$75,4,FALSE)),0)</f>
        <v>0</v>
      </c>
      <c r="AE16" s="585">
        <f ca="1">IFERROR(VLOOKUP($B16,$AM$12:$AX$75,5,FALSE),0)</f>
        <v>0</v>
      </c>
      <c r="AF16" s="585">
        <f ca="1">IFERROR(IF(OR($B16=$AM$13,$B16=$AM$15,$B16=$AM$30,$B16=$AM$32),VLOOKUP($B16,$AM$12:$AX$75,6,FALSE)*'Table 3-A| Emission Units'!$H$21,VLOOKUP($B16,$AM$12:$AX$75,6,FALSE)),0)</f>
        <v>0</v>
      </c>
      <c r="AG16" s="585">
        <f t="shared" ca="1" si="12"/>
        <v>0</v>
      </c>
      <c r="AH16" s="585">
        <f t="shared" ca="1" si="13"/>
        <v>0</v>
      </c>
      <c r="AI16" s="585">
        <f t="shared" ca="1" si="14"/>
        <v>0</v>
      </c>
      <c r="AJ16" s="585">
        <f t="shared" ca="1" si="15"/>
        <v>0</v>
      </c>
      <c r="AK16" s="588">
        <f t="shared" ca="1" si="16"/>
        <v>0</v>
      </c>
      <c r="AM16" s="66">
        <v>10200401</v>
      </c>
      <c r="AN16" s="68" t="s">
        <v>2296</v>
      </c>
      <c r="AO16" s="762">
        <v>7.4676000000000009</v>
      </c>
      <c r="AP16" s="762">
        <v>5.3340000000000005</v>
      </c>
      <c r="AQ16" s="762">
        <v>46.9392</v>
      </c>
      <c r="AR16" s="762">
        <v>8.0771999999999995</v>
      </c>
      <c r="AS16" s="762">
        <v>1.6763999999999999</v>
      </c>
      <c r="AT16" s="762">
        <v>5.0292000000000003</v>
      </c>
      <c r="AU16" s="762">
        <v>25169.628096</v>
      </c>
      <c r="AV16" s="629">
        <v>6.4748201438848928E-8</v>
      </c>
      <c r="AW16" s="629">
        <v>6.0960000000000007E-2</v>
      </c>
      <c r="AX16" s="756" t="s">
        <v>1506</v>
      </c>
      <c r="AY16" s="781">
        <v>152.4</v>
      </c>
      <c r="AZ16" s="68"/>
      <c r="BA16" s="66"/>
      <c r="BB16" s="68"/>
      <c r="BH16" s="130"/>
      <c r="BI16" s="130"/>
      <c r="BJ16" s="130"/>
      <c r="BK16" s="130"/>
      <c r="BL16" s="130"/>
      <c r="BM16" s="130"/>
      <c r="BN16" s="130"/>
      <c r="BO16" s="130"/>
      <c r="BP16" s="130"/>
      <c r="BQ16" s="130"/>
      <c r="BR16" s="130"/>
    </row>
    <row r="17" spans="1:70" ht="18" customHeight="1" x14ac:dyDescent="0.25">
      <c r="A17" s="302">
        <f>'Table 5-A| Primary MPTE'!A49</f>
        <v>0</v>
      </c>
      <c r="B17" s="303">
        <f ca="1">'Table 5-A| Primary MPTE'!B49</f>
        <v>0</v>
      </c>
      <c r="C17" s="305">
        <f ca="1">IFERROR(IF('Table 6-A| Controls &amp; Limits'!C25="Yes",'Table 6-A| Controls &amp; Limits'!E25,'Table 6-A| Controls &amp; Limits'!D25),0)</f>
        <v>0</v>
      </c>
      <c r="D17" s="391">
        <f t="shared" ca="1" si="9"/>
        <v>0</v>
      </c>
      <c r="E17" s="1359"/>
      <c r="F17" s="1362"/>
      <c r="G17" s="1362"/>
      <c r="H17" s="1362"/>
      <c r="I17" s="1362"/>
      <c r="J17" s="1362"/>
      <c r="K17" s="1362"/>
      <c r="L17" s="1362"/>
      <c r="M17" s="1344"/>
      <c r="S17" s="587">
        <f t="shared" ca="1" si="10"/>
        <v>0</v>
      </c>
      <c r="T17" s="585">
        <f t="shared" ca="1" si="1"/>
        <v>0</v>
      </c>
      <c r="U17" s="585">
        <f t="shared" ca="1" si="2"/>
        <v>0</v>
      </c>
      <c r="V17" s="585">
        <f t="shared" ca="1" si="3"/>
        <v>0</v>
      </c>
      <c r="W17" s="585">
        <f t="shared" ca="1" si="4"/>
        <v>0</v>
      </c>
      <c r="X17" s="585">
        <f t="shared" ca="1" si="5"/>
        <v>0</v>
      </c>
      <c r="Y17" s="585">
        <f t="shared" ca="1" si="6"/>
        <v>0</v>
      </c>
      <c r="Z17" s="585">
        <f t="shared" ca="1" si="7"/>
        <v>0</v>
      </c>
      <c r="AA17" s="588">
        <f t="shared" ca="1" si="8"/>
        <v>0</v>
      </c>
      <c r="AC17" s="587">
        <f ca="1">IFERROR(IF(OR($B17=$AM$13,$B17=$AM$15,$B17=$AM$30,$B17=$AM$32),VLOOKUP($B17,$AM$12:$AX$75,3,FALSE)*'Table 3-A| Emission Units'!$G$21,VLOOKUP($B17,$AM$12:$AX$75,3,FALSE)),0)</f>
        <v>0</v>
      </c>
      <c r="AD17" s="585">
        <f ca="1">IFERROR(IF(OR($B17=$AM$13,$B17=$AM$15,$B17=$AM$30,$B17=$AM$32),VLOOKUP($B17,$AM$12:$AX$75,4,FALSE)*'Table 3-A| Emission Units'!$G$21,VLOOKUP($B17,$AM$12:$AX$75,4,FALSE)),0)</f>
        <v>0</v>
      </c>
      <c r="AE17" s="585">
        <f t="shared" ref="AE17:AE21" ca="1" si="25">IFERROR(VLOOKUP($B17,$AM$12:$AX$75,5,FALSE),0)</f>
        <v>0</v>
      </c>
      <c r="AF17" s="585">
        <f ca="1">IFERROR(IF(OR($B17=$AM$13,$B17=$AM$15,$B17=$AM$30,$B17=$AM$32),VLOOKUP($B17,$AM$12:$AX$75,6,FALSE)*'Table 3-A| Emission Units'!$H$21,VLOOKUP($B17,$AM$12:$AX$75,6,FALSE)),0)</f>
        <v>0</v>
      </c>
      <c r="AG17" s="585">
        <f t="shared" ca="1" si="12"/>
        <v>0</v>
      </c>
      <c r="AH17" s="585">
        <f t="shared" ca="1" si="13"/>
        <v>0</v>
      </c>
      <c r="AI17" s="585">
        <f t="shared" ca="1" si="14"/>
        <v>0</v>
      </c>
      <c r="AJ17" s="585">
        <f t="shared" ca="1" si="15"/>
        <v>0</v>
      </c>
      <c r="AK17" s="588">
        <f t="shared" ca="1" si="16"/>
        <v>0</v>
      </c>
      <c r="AM17" s="66">
        <v>10200402</v>
      </c>
      <c r="AN17" s="68" t="s">
        <v>2297</v>
      </c>
      <c r="AO17" s="762">
        <v>7.4676000000000009</v>
      </c>
      <c r="AP17" s="762">
        <v>5.3340000000000005</v>
      </c>
      <c r="AQ17" s="762">
        <v>46.9392</v>
      </c>
      <c r="AR17" s="762">
        <v>8.0771999999999995</v>
      </c>
      <c r="AS17" s="762">
        <v>1.6763999999999999</v>
      </c>
      <c r="AT17" s="762">
        <v>5.0292000000000003</v>
      </c>
      <c r="AU17" s="762">
        <v>25169.628096</v>
      </c>
      <c r="AV17" s="629">
        <v>6.4748201438848928E-8</v>
      </c>
      <c r="AW17" s="629">
        <v>6.0960000000000007E-2</v>
      </c>
      <c r="AX17" s="756" t="s">
        <v>1506</v>
      </c>
      <c r="AY17" s="781">
        <v>152.4</v>
      </c>
      <c r="AZ17" s="68"/>
      <c r="BA17" s="66"/>
      <c r="BB17" s="68"/>
      <c r="BH17" s="130"/>
      <c r="BI17" s="130"/>
      <c r="BJ17" s="130"/>
      <c r="BK17" s="130"/>
      <c r="BL17" s="130"/>
      <c r="BM17" s="130"/>
      <c r="BN17" s="130"/>
      <c r="BO17" s="130"/>
      <c r="BP17" s="130"/>
      <c r="BQ17" s="130"/>
      <c r="BR17" s="130"/>
    </row>
    <row r="18" spans="1:70" ht="18" customHeight="1" thickBot="1" x14ac:dyDescent="0.3">
      <c r="A18" s="309">
        <f>'Table 5-A| Primary MPTE'!A50</f>
        <v>0</v>
      </c>
      <c r="B18" s="310">
        <f ca="1">'Table 5-A| Primary MPTE'!B50</f>
        <v>0</v>
      </c>
      <c r="C18" s="312">
        <f ca="1">IFERROR(IF('Table 6-A| Controls &amp; Limits'!C26="Yes",'Table 6-A| Controls &amp; Limits'!E26,'Table 6-A| Controls &amp; Limits'!D26),0)</f>
        <v>0</v>
      </c>
      <c r="D18" s="395">
        <f t="shared" ca="1" si="9"/>
        <v>0</v>
      </c>
      <c r="E18" s="1360"/>
      <c r="F18" s="1363"/>
      <c r="G18" s="1363"/>
      <c r="H18" s="1363"/>
      <c r="I18" s="1363"/>
      <c r="J18" s="1363"/>
      <c r="K18" s="1363"/>
      <c r="L18" s="1363"/>
      <c r="M18" s="1345"/>
      <c r="S18" s="591">
        <f t="shared" ca="1" si="10"/>
        <v>0</v>
      </c>
      <c r="T18" s="592">
        <f t="shared" ca="1" si="1"/>
        <v>0</v>
      </c>
      <c r="U18" s="592">
        <f t="shared" ca="1" si="2"/>
        <v>0</v>
      </c>
      <c r="V18" s="592">
        <f t="shared" ca="1" si="3"/>
        <v>0</v>
      </c>
      <c r="W18" s="592">
        <f t="shared" ca="1" si="4"/>
        <v>0</v>
      </c>
      <c r="X18" s="592">
        <f t="shared" ca="1" si="5"/>
        <v>0</v>
      </c>
      <c r="Y18" s="592">
        <f t="shared" ca="1" si="6"/>
        <v>0</v>
      </c>
      <c r="Z18" s="592">
        <f t="shared" ca="1" si="7"/>
        <v>0</v>
      </c>
      <c r="AA18" s="593">
        <f t="shared" ca="1" si="8"/>
        <v>0</v>
      </c>
      <c r="AC18" s="591">
        <f ca="1">IFERROR(IF(OR($B18=$AM$13,$B18=$AM$15,$B18=$AM$30,$B18=$AM$32),VLOOKUP($B18,$AM$12:$AX$75,3,FALSE)*'Table 3-A| Emission Units'!$G$21,VLOOKUP($B18,$AM$12:$AX$75,3,FALSE)),0)</f>
        <v>0</v>
      </c>
      <c r="AD18" s="592">
        <f ca="1">IFERROR(IF(OR($B18=$AM$13,$B18=$AM$15,$B18=$AM$30,$B18=$AM$32),VLOOKUP($B18,$AM$12:$AX$75,4,FALSE)*'Table 3-A| Emission Units'!$G$21,VLOOKUP($B18,$AM$12:$AX$75,4,FALSE)),0)</f>
        <v>0</v>
      </c>
      <c r="AE18" s="592">
        <f t="shared" ca="1" si="25"/>
        <v>0</v>
      </c>
      <c r="AF18" s="592">
        <f ca="1">IFERROR(IF(OR($B18=$AM$13,$B18=$AM$15,$B18=$AM$30,$B18=$AM$32),VLOOKUP($B18,$AM$12:$AX$75,6,FALSE)*'Table 3-A| Emission Units'!$H$21,VLOOKUP($B18,$AM$12:$AX$75,6,FALSE)),0)</f>
        <v>0</v>
      </c>
      <c r="AG18" s="592">
        <f t="shared" ca="1" si="12"/>
        <v>0</v>
      </c>
      <c r="AH18" s="592">
        <f t="shared" ca="1" si="13"/>
        <v>0</v>
      </c>
      <c r="AI18" s="592">
        <f t="shared" ca="1" si="14"/>
        <v>0</v>
      </c>
      <c r="AJ18" s="592">
        <f t="shared" ca="1" si="15"/>
        <v>0</v>
      </c>
      <c r="AK18" s="593">
        <f t="shared" ca="1" si="16"/>
        <v>0</v>
      </c>
      <c r="AM18" s="66">
        <v>10200403</v>
      </c>
      <c r="AN18" s="68" t="s">
        <v>2298</v>
      </c>
      <c r="AO18" s="762">
        <v>7.4676000000000009</v>
      </c>
      <c r="AP18" s="762">
        <v>5.3340000000000005</v>
      </c>
      <c r="AQ18" s="762">
        <v>46.9392</v>
      </c>
      <c r="AR18" s="762">
        <v>8.0771999999999995</v>
      </c>
      <c r="AS18" s="762">
        <v>1.6763999999999999</v>
      </c>
      <c r="AT18" s="762">
        <v>5.0292000000000003</v>
      </c>
      <c r="AU18" s="762">
        <v>25169.628096</v>
      </c>
      <c r="AV18" s="629">
        <v>6.4748201438848928E-8</v>
      </c>
      <c r="AW18" s="629">
        <v>6.0960000000000007E-2</v>
      </c>
      <c r="AX18" s="756" t="s">
        <v>1506</v>
      </c>
      <c r="AY18" s="781">
        <v>152.4</v>
      </c>
      <c r="AZ18" s="68"/>
      <c r="BA18" s="66"/>
      <c r="BB18" s="68"/>
      <c r="BH18" s="130"/>
      <c r="BI18" s="130"/>
      <c r="BJ18" s="130"/>
      <c r="BK18" s="130"/>
      <c r="BL18" s="130"/>
      <c r="BM18" s="130"/>
      <c r="BN18" s="130"/>
      <c r="BO18" s="130"/>
      <c r="BP18" s="130"/>
      <c r="BQ18" s="130"/>
      <c r="BR18" s="130"/>
    </row>
    <row r="19" spans="1:70" ht="18" customHeight="1" x14ac:dyDescent="0.25">
      <c r="A19" s="630">
        <f>'Table 5-A| Primary MPTE'!A51</f>
        <v>0</v>
      </c>
      <c r="B19" s="626">
        <f ca="1">'Table 5-A| Primary MPTE'!B51</f>
        <v>0</v>
      </c>
      <c r="C19" s="631">
        <f ca="1">IFERROR(IF('Table 6-A| Controls &amp; Limits'!C27="Yes",'Table 6-A| Controls &amp; Limits'!E27,'Table 6-A| Controls &amp; Limits'!D27),0)</f>
        <v>0</v>
      </c>
      <c r="D19" s="625">
        <f t="shared" ca="1" si="9"/>
        <v>0</v>
      </c>
      <c r="E19" s="1358">
        <f ca="1">LARGE(S19:S21,1)</f>
        <v>0</v>
      </c>
      <c r="F19" s="1361">
        <f t="shared" ref="F19" ca="1" si="26">LARGE(T19:T21,1)</f>
        <v>0</v>
      </c>
      <c r="G19" s="1361">
        <f t="shared" ref="G19" ca="1" si="27">LARGE(U19:U21,1)</f>
        <v>0</v>
      </c>
      <c r="H19" s="1361">
        <f t="shared" ref="H19" ca="1" si="28">LARGE(V19:V21,1)</f>
        <v>0</v>
      </c>
      <c r="I19" s="1361">
        <f t="shared" ref="I19" ca="1" si="29">LARGE(W19:W21,1)</f>
        <v>0</v>
      </c>
      <c r="J19" s="1361">
        <f t="shared" ref="J19" ca="1" si="30">LARGE(X19:X21,1)</f>
        <v>0</v>
      </c>
      <c r="K19" s="1361">
        <f t="shared" ref="K19" ca="1" si="31">LARGE(Y19:Y21,1)</f>
        <v>0</v>
      </c>
      <c r="L19" s="1361">
        <f t="shared" ref="L19" ca="1" si="32">LARGE(Z19:Z21,1)</f>
        <v>0</v>
      </c>
      <c r="M19" s="1343">
        <f t="shared" ref="M19" ca="1" si="33">LARGE(AA19:AA21,1)</f>
        <v>0</v>
      </c>
      <c r="S19" s="587">
        <f t="shared" ca="1" si="10"/>
        <v>0</v>
      </c>
      <c r="T19" s="585">
        <f t="shared" ca="1" si="1"/>
        <v>0</v>
      </c>
      <c r="U19" s="585">
        <f t="shared" ca="1" si="2"/>
        <v>0</v>
      </c>
      <c r="V19" s="585">
        <f t="shared" ca="1" si="3"/>
        <v>0</v>
      </c>
      <c r="W19" s="585">
        <f t="shared" ca="1" si="4"/>
        <v>0</v>
      </c>
      <c r="X19" s="585">
        <f t="shared" ca="1" si="5"/>
        <v>0</v>
      </c>
      <c r="Y19" s="585">
        <f t="shared" ca="1" si="6"/>
        <v>0</v>
      </c>
      <c r="Z19" s="585">
        <f t="shared" ca="1" si="7"/>
        <v>0</v>
      </c>
      <c r="AA19" s="588">
        <f t="shared" ca="1" si="8"/>
        <v>0</v>
      </c>
      <c r="AC19" s="587">
        <f ca="1">IFERROR(IF(OR($B19=$AM$13,$B19=$AM$15,$B19=$AM$30,$B19=$AM$32),VLOOKUP($B19,$AM$12:$AX$75,3,FALSE)*'Table 3-A| Emission Units'!$G$27,VLOOKUP($B19,$AM$12:$AX$75,3,FALSE)),0)</f>
        <v>0</v>
      </c>
      <c r="AD19" s="585">
        <f ca="1">IFERROR(IF(OR($B19=$AM$13,$B19=$AM$15,$B19=$AM$30,$B19=$AM$32),VLOOKUP($B19,$AM$12:$AX$75,4,FALSE)*'Table 3-A| Emission Units'!$G$27,VLOOKUP($B19,$AM$12:$AX$75,4,FALSE)),0)</f>
        <v>0</v>
      </c>
      <c r="AE19" s="585">
        <f t="shared" ca="1" si="25"/>
        <v>0</v>
      </c>
      <c r="AF19" s="585">
        <f ca="1">IFERROR(IF(OR($B19=$AM$13,$B19=$AM$15,$B19=$AM$30,$B19=$AM$32),VLOOKUP($B19,$AM$12:$AX$75,6,FALSE)*'Table 3-A| Emission Units'!$H$27,VLOOKUP($B19,$AM$12:$AX$75,6,FALSE)),0)</f>
        <v>0</v>
      </c>
      <c r="AG19" s="585">
        <f t="shared" ca="1" si="12"/>
        <v>0</v>
      </c>
      <c r="AH19" s="585">
        <f t="shared" ca="1" si="13"/>
        <v>0</v>
      </c>
      <c r="AI19" s="585">
        <f t="shared" ca="1" si="14"/>
        <v>0</v>
      </c>
      <c r="AJ19" s="585">
        <f t="shared" ca="1" si="15"/>
        <v>0</v>
      </c>
      <c r="AK19" s="588">
        <f t="shared" ca="1" si="16"/>
        <v>0</v>
      </c>
      <c r="AM19" s="66">
        <v>10200501</v>
      </c>
      <c r="AN19" s="68" t="s">
        <v>2302</v>
      </c>
      <c r="AO19" s="762">
        <v>2.363</v>
      </c>
      <c r="AP19" s="762">
        <v>1.5289999999999999</v>
      </c>
      <c r="AQ19" s="762">
        <v>24.046999999999997</v>
      </c>
      <c r="AR19" s="762">
        <v>7.367</v>
      </c>
      <c r="AS19" s="762">
        <v>0.25158999999999998</v>
      </c>
      <c r="AT19" s="762">
        <v>5.0039999999999996</v>
      </c>
      <c r="AU19" s="762">
        <v>25001.839650000005</v>
      </c>
      <c r="AV19" s="629">
        <v>6.4748201438848928E-8</v>
      </c>
      <c r="AW19" s="629">
        <v>6.4356999999999998E-2</v>
      </c>
      <c r="AX19" s="756" t="s">
        <v>1506</v>
      </c>
      <c r="AY19" s="781">
        <v>139</v>
      </c>
      <c r="AZ19" s="68"/>
      <c r="BA19" s="66"/>
      <c r="BB19" s="68"/>
      <c r="BH19" s="130"/>
      <c r="BI19" s="130"/>
      <c r="BJ19" s="130"/>
      <c r="BK19" s="130"/>
      <c r="BL19" s="130"/>
      <c r="BM19" s="130"/>
      <c r="BN19" s="130"/>
      <c r="BO19" s="130"/>
      <c r="BP19" s="130"/>
      <c r="BQ19" s="130"/>
      <c r="BR19" s="130"/>
    </row>
    <row r="20" spans="1:70" ht="18" customHeight="1" x14ac:dyDescent="0.25">
      <c r="A20" s="302">
        <f>'Table 5-A| Primary MPTE'!A52</f>
        <v>0</v>
      </c>
      <c r="B20" s="303">
        <f ca="1">'Table 5-A| Primary MPTE'!B52</f>
        <v>0</v>
      </c>
      <c r="C20" s="305">
        <f ca="1">IFERROR(IF('Table 6-A| Controls &amp; Limits'!C28="Yes",'Table 6-A| Controls &amp; Limits'!E28,'Table 6-A| Controls &amp; Limits'!D28),0)</f>
        <v>0</v>
      </c>
      <c r="D20" s="391">
        <f t="shared" ca="1" si="9"/>
        <v>0</v>
      </c>
      <c r="E20" s="1359"/>
      <c r="F20" s="1362"/>
      <c r="G20" s="1362"/>
      <c r="H20" s="1362"/>
      <c r="I20" s="1362"/>
      <c r="J20" s="1362"/>
      <c r="K20" s="1362"/>
      <c r="L20" s="1362"/>
      <c r="M20" s="1344"/>
      <c r="S20" s="587">
        <f t="shared" ca="1" si="10"/>
        <v>0</v>
      </c>
      <c r="T20" s="585">
        <f t="shared" ca="1" si="1"/>
        <v>0</v>
      </c>
      <c r="U20" s="585">
        <f t="shared" ca="1" si="2"/>
        <v>0</v>
      </c>
      <c r="V20" s="585">
        <f t="shared" ca="1" si="3"/>
        <v>0</v>
      </c>
      <c r="W20" s="585">
        <f t="shared" ca="1" si="4"/>
        <v>0</v>
      </c>
      <c r="X20" s="585">
        <f t="shared" ca="1" si="5"/>
        <v>0</v>
      </c>
      <c r="Y20" s="585">
        <f t="shared" ca="1" si="6"/>
        <v>0</v>
      </c>
      <c r="Z20" s="585">
        <f t="shared" ca="1" si="7"/>
        <v>0</v>
      </c>
      <c r="AA20" s="588">
        <f t="shared" ca="1" si="8"/>
        <v>0</v>
      </c>
      <c r="AC20" s="587">
        <f ca="1">IFERROR(IF(OR($B20=$AM$13,$B20=$AM$15,$B20=$AM$30,$B20=$AM$32),VLOOKUP($B20,$AM$12:$AX$75,3,FALSE)*'Table 3-A| Emission Units'!$G$27,VLOOKUP($B20,$AM$12:$AX$75,3,FALSE)),0)</f>
        <v>0</v>
      </c>
      <c r="AD20" s="585">
        <f ca="1">IFERROR(IF(OR($B20=$AM$13,$B20=$AM$15,$B20=$AM$30,$B20=$AM$32),VLOOKUP($B20,$AM$12:$AX$75,4,FALSE)*'Table 3-A| Emission Units'!$G$27,VLOOKUP($B20,$AM$12:$AX$75,4,FALSE)),0)</f>
        <v>0</v>
      </c>
      <c r="AE20" s="585">
        <f t="shared" ca="1" si="25"/>
        <v>0</v>
      </c>
      <c r="AF20" s="585">
        <f ca="1">IFERROR(IF(OR($B20=$AM$13,$B20=$AM$15,$B20=$AM$30,$B20=$AM$32),VLOOKUP($B20,$AM$12:$AX$75,6,FALSE)*'Table 3-A| Emission Units'!$H$27,VLOOKUP($B20,$AM$12:$AX$75,6,FALSE)),0)</f>
        <v>0</v>
      </c>
      <c r="AG20" s="585">
        <f t="shared" ca="1" si="12"/>
        <v>0</v>
      </c>
      <c r="AH20" s="585">
        <f t="shared" ca="1" si="13"/>
        <v>0</v>
      </c>
      <c r="AI20" s="585">
        <f t="shared" ca="1" si="14"/>
        <v>0</v>
      </c>
      <c r="AJ20" s="585">
        <f t="shared" ca="1" si="15"/>
        <v>0</v>
      </c>
      <c r="AK20" s="588">
        <f t="shared" ca="1" si="16"/>
        <v>0</v>
      </c>
      <c r="AM20" s="66">
        <v>10200502</v>
      </c>
      <c r="AN20" s="68" t="s">
        <v>2303</v>
      </c>
      <c r="AO20" s="762">
        <v>2.363</v>
      </c>
      <c r="AP20" s="762">
        <v>1.5289999999999999</v>
      </c>
      <c r="AQ20" s="762">
        <v>20.015999999999998</v>
      </c>
      <c r="AR20" s="762">
        <v>7.2279999999999998</v>
      </c>
      <c r="AS20" s="762">
        <v>0.25158999999999998</v>
      </c>
      <c r="AT20" s="762">
        <v>5.0039999999999996</v>
      </c>
      <c r="AU20" s="762">
        <v>25001.839650000005</v>
      </c>
      <c r="AV20" s="629">
        <v>6.4748201438848928E-8</v>
      </c>
      <c r="AW20" s="629">
        <v>6.4356999999999998E-2</v>
      </c>
      <c r="AX20" s="756" t="s">
        <v>1506</v>
      </c>
      <c r="AY20" s="781">
        <v>139</v>
      </c>
      <c r="AZ20" s="68"/>
      <c r="BA20" s="66"/>
      <c r="BB20" s="68"/>
      <c r="BH20" s="130"/>
      <c r="BI20" s="130"/>
      <c r="BJ20" s="130"/>
      <c r="BK20" s="130"/>
      <c r="BL20" s="130"/>
      <c r="BM20" s="130"/>
      <c r="BN20" s="130"/>
      <c r="BO20" s="130"/>
      <c r="BP20" s="130"/>
      <c r="BQ20" s="130"/>
      <c r="BR20" s="130"/>
    </row>
    <row r="21" spans="1:70" ht="18" customHeight="1" thickBot="1" x14ac:dyDescent="0.3">
      <c r="A21" s="309">
        <f>'Table 5-A| Primary MPTE'!A53</f>
        <v>0</v>
      </c>
      <c r="B21" s="310">
        <f ca="1">'Table 5-A| Primary MPTE'!B53</f>
        <v>0</v>
      </c>
      <c r="C21" s="312">
        <f ca="1">IFERROR(IF('Table 6-A| Controls &amp; Limits'!C29="Yes",'Table 6-A| Controls &amp; Limits'!E29,'Table 6-A| Controls &amp; Limits'!D29),0)</f>
        <v>0</v>
      </c>
      <c r="D21" s="395">
        <f t="shared" ca="1" si="9"/>
        <v>0</v>
      </c>
      <c r="E21" s="1360"/>
      <c r="F21" s="1363"/>
      <c r="G21" s="1363"/>
      <c r="H21" s="1363"/>
      <c r="I21" s="1363"/>
      <c r="J21" s="1363"/>
      <c r="K21" s="1363"/>
      <c r="L21" s="1363"/>
      <c r="M21" s="1345"/>
      <c r="S21" s="591">
        <f t="shared" ca="1" si="10"/>
        <v>0</v>
      </c>
      <c r="T21" s="592">
        <f t="shared" ca="1" si="1"/>
        <v>0</v>
      </c>
      <c r="U21" s="592">
        <f t="shared" ca="1" si="2"/>
        <v>0</v>
      </c>
      <c r="V21" s="592">
        <f t="shared" ca="1" si="3"/>
        <v>0</v>
      </c>
      <c r="W21" s="592">
        <f t="shared" ca="1" si="4"/>
        <v>0</v>
      </c>
      <c r="X21" s="592">
        <f t="shared" ca="1" si="5"/>
        <v>0</v>
      </c>
      <c r="Y21" s="592">
        <f t="shared" ca="1" si="6"/>
        <v>0</v>
      </c>
      <c r="Z21" s="592">
        <f t="shared" ca="1" si="7"/>
        <v>0</v>
      </c>
      <c r="AA21" s="593">
        <f t="shared" ca="1" si="8"/>
        <v>0</v>
      </c>
      <c r="AC21" s="591">
        <f ca="1">IFERROR(IF(OR($B21=$AM$13,$B21=$AM$15,$B21=$AM$30,$B21=$AM$32),VLOOKUP($B21,$AM$12:$AX$75,3,FALSE)*'Table 3-A| Emission Units'!$G$27,VLOOKUP($B21,$AM$12:$AX$75,3,FALSE)),0)</f>
        <v>0</v>
      </c>
      <c r="AD21" s="592">
        <f ca="1">IFERROR(IF(OR($B21=$AM$13,$B21=$AM$15,$B21=$AM$30,$B21=$AM$32),VLOOKUP($B21,$AM$12:$AX$75,4,FALSE)*'Table 3-A| Emission Units'!$G$27,VLOOKUP($B21,$AM$12:$AX$75,4,FALSE)),0)</f>
        <v>0</v>
      </c>
      <c r="AE21" s="592">
        <f t="shared" ca="1" si="25"/>
        <v>0</v>
      </c>
      <c r="AF21" s="592">
        <f ca="1">IFERROR(IF(OR($B21=$AM$13,$B21=$AM$15,$B21=$AM$30,$B21=$AM$32),VLOOKUP($B21,$AM$12:$AX$75,6,FALSE)*'Table 3-A| Emission Units'!$H$27,VLOOKUP($B21,$AM$12:$AX$75,6,FALSE)),0)</f>
        <v>0</v>
      </c>
      <c r="AG21" s="592">
        <f t="shared" ca="1" si="12"/>
        <v>0</v>
      </c>
      <c r="AH21" s="592">
        <f t="shared" ca="1" si="13"/>
        <v>0</v>
      </c>
      <c r="AI21" s="592">
        <f t="shared" ca="1" si="14"/>
        <v>0</v>
      </c>
      <c r="AJ21" s="592">
        <f t="shared" ca="1" si="15"/>
        <v>0</v>
      </c>
      <c r="AK21" s="593">
        <f t="shared" ca="1" si="16"/>
        <v>0</v>
      </c>
      <c r="AM21" s="66">
        <v>10200503</v>
      </c>
      <c r="AN21" s="68" t="s">
        <v>2304</v>
      </c>
      <c r="AO21" s="762">
        <v>2.363</v>
      </c>
      <c r="AP21" s="762">
        <v>1.5289999999999999</v>
      </c>
      <c r="AQ21" s="762">
        <v>20.015999999999998</v>
      </c>
      <c r="AR21" s="762">
        <v>7.2279999999999998</v>
      </c>
      <c r="AS21" s="762">
        <v>0.25158999999999998</v>
      </c>
      <c r="AT21" s="762">
        <v>5.0039999999999996</v>
      </c>
      <c r="AU21" s="762">
        <v>25001.839650000005</v>
      </c>
      <c r="AV21" s="629">
        <v>6.4748201438848928E-8</v>
      </c>
      <c r="AW21" s="629">
        <v>6.4356999999999998E-2</v>
      </c>
      <c r="AX21" s="756" t="s">
        <v>1506</v>
      </c>
      <c r="AY21" s="781">
        <v>139</v>
      </c>
      <c r="AZ21" s="68"/>
      <c r="BA21" s="66"/>
      <c r="BB21" s="68"/>
      <c r="BH21" s="130"/>
      <c r="BI21" s="130"/>
      <c r="BJ21" s="130"/>
      <c r="BK21" s="130"/>
      <c r="BL21" s="130"/>
      <c r="BM21" s="130"/>
      <c r="BN21" s="130"/>
      <c r="BO21" s="130"/>
      <c r="BP21" s="130"/>
      <c r="BQ21" s="130"/>
      <c r="BR21" s="130"/>
    </row>
    <row r="22" spans="1:70" ht="18" customHeight="1" x14ac:dyDescent="0.25">
      <c r="A22" s="630">
        <f>'Table 5-A| Primary MPTE'!A54</f>
        <v>0</v>
      </c>
      <c r="B22" s="626">
        <f ca="1">'Table 5-A| Primary MPTE'!B54</f>
        <v>0</v>
      </c>
      <c r="C22" s="631">
        <f ca="1">IFERROR(IF('Table 6-A| Controls &amp; Limits'!C30="Yes",'Table 6-A| Controls &amp; Limits'!E30,'Table 6-A| Controls &amp; Limits'!D30),0)</f>
        <v>0</v>
      </c>
      <c r="D22" s="625">
        <f t="shared" ca="1" si="9"/>
        <v>0</v>
      </c>
      <c r="E22" s="1358">
        <f ca="1">LARGE(S22:S24,1)</f>
        <v>0</v>
      </c>
      <c r="F22" s="1361">
        <f t="shared" ref="F22" ca="1" si="34">LARGE(T22:T24,1)</f>
        <v>0</v>
      </c>
      <c r="G22" s="1361">
        <f t="shared" ref="G22" ca="1" si="35">LARGE(U22:U24,1)</f>
        <v>0</v>
      </c>
      <c r="H22" s="1361">
        <f t="shared" ref="H22" ca="1" si="36">LARGE(V22:V24,1)</f>
        <v>0</v>
      </c>
      <c r="I22" s="1361">
        <f t="shared" ref="I22" ca="1" si="37">LARGE(W22:W24,1)</f>
        <v>0</v>
      </c>
      <c r="J22" s="1361">
        <f t="shared" ref="J22" ca="1" si="38">LARGE(X22:X24,1)</f>
        <v>0</v>
      </c>
      <c r="K22" s="1361">
        <f t="shared" ref="K22" ca="1" si="39">LARGE(Y22:Y24,1)</f>
        <v>0</v>
      </c>
      <c r="L22" s="1361">
        <f t="shared" ref="L22" ca="1" si="40">LARGE(Z22:Z24,1)</f>
        <v>0</v>
      </c>
      <c r="M22" s="1343">
        <f t="shared" ref="M22" ca="1" si="41">LARGE(AA22:AA24,1)</f>
        <v>0</v>
      </c>
      <c r="S22" s="589">
        <f t="shared" ca="1" si="10"/>
        <v>0</v>
      </c>
      <c r="T22" s="590">
        <f t="shared" ca="1" si="1"/>
        <v>0</v>
      </c>
      <c r="U22" s="590">
        <f t="shared" ca="1" si="2"/>
        <v>0</v>
      </c>
      <c r="V22" s="585">
        <f t="shared" ca="1" si="3"/>
        <v>0</v>
      </c>
      <c r="W22" s="585">
        <f t="shared" ca="1" si="4"/>
        <v>0</v>
      </c>
      <c r="X22" s="585">
        <f t="shared" ca="1" si="5"/>
        <v>0</v>
      </c>
      <c r="Y22" s="585">
        <f t="shared" ca="1" si="6"/>
        <v>0</v>
      </c>
      <c r="Z22" s="585">
        <f t="shared" ca="1" si="7"/>
        <v>0</v>
      </c>
      <c r="AA22" s="588">
        <f t="shared" ca="1" si="8"/>
        <v>0</v>
      </c>
      <c r="AC22" s="589">
        <f ca="1">IFERROR(IF(OR($B22=$AM$13,$B22=$AM$15,$B22=$AM$30,$B22=$AM$32),VLOOKUP($B22,$AM$12:$AX$75,3,FALSE)*'Table 3-A| Emission Units'!$G$33,VLOOKUP($B22,$AM$12:$AX$75,3,FALSE)),0)</f>
        <v>0</v>
      </c>
      <c r="AD22" s="590">
        <f ca="1">IFERROR(IF(OR($B22=$AM$13,$B22=$AM$15,$B22=$AM$30,$B22=$AM$32),VLOOKUP($B22,$AM$12:$AX$75,4,FALSE)*'Table 3-A| Emission Units'!$G$33,VLOOKUP($B22,$AM$12:$AX$75,4,FALSE)),0)</f>
        <v>0</v>
      </c>
      <c r="AE22" s="590">
        <f ca="1">IFERROR(VLOOKUP($B22,$AM$12:$AX$75,5,FALSE),0)</f>
        <v>0</v>
      </c>
      <c r="AF22" s="585">
        <f ca="1">IFERROR(IF(OR($B22=$AM$13,$B22=$AM$15,$B22=$AM$30,$B22=$AM$32),VLOOKUP($B22,$AM$12:$AX$75,6,FALSE)*'Table 3-A| Emission Units'!$H$33,VLOOKUP($B22,$AM$12:$AX$75,6,FALSE)),0)</f>
        <v>0</v>
      </c>
      <c r="AG22" s="585">
        <f t="shared" ca="1" si="12"/>
        <v>0</v>
      </c>
      <c r="AH22" s="585">
        <f t="shared" ca="1" si="13"/>
        <v>0</v>
      </c>
      <c r="AI22" s="585">
        <f t="shared" ca="1" si="14"/>
        <v>0</v>
      </c>
      <c r="AJ22" s="585">
        <f t="shared" ca="1" si="15"/>
        <v>0</v>
      </c>
      <c r="AK22" s="588">
        <f t="shared" ca="1" si="16"/>
        <v>0</v>
      </c>
      <c r="AM22" s="66">
        <v>10200504</v>
      </c>
      <c r="AN22" s="68" t="s">
        <v>2323</v>
      </c>
      <c r="AO22" s="762">
        <v>7.54</v>
      </c>
      <c r="AP22" s="762">
        <v>5.3649999999999993</v>
      </c>
      <c r="AQ22" s="762">
        <v>46.980000000000004</v>
      </c>
      <c r="AR22" s="762">
        <v>7.83</v>
      </c>
      <c r="AS22" s="762">
        <v>0.25230000000000002</v>
      </c>
      <c r="AT22" s="762">
        <v>4.9300000000000006</v>
      </c>
      <c r="AU22" s="762">
        <v>25001.331374999998</v>
      </c>
      <c r="AV22" s="629">
        <v>6.4748201438848928E-8</v>
      </c>
      <c r="AW22" s="629">
        <v>6.1044999999999995E-2</v>
      </c>
      <c r="AX22" s="756" t="s">
        <v>1506</v>
      </c>
      <c r="AY22" s="781">
        <v>145</v>
      </c>
      <c r="AZ22" s="68"/>
      <c r="BA22" s="66"/>
      <c r="BB22" s="68"/>
      <c r="BH22" s="130"/>
      <c r="BI22" s="130"/>
      <c r="BJ22" s="130"/>
      <c r="BK22" s="130"/>
      <c r="BL22" s="130"/>
      <c r="BM22" s="130"/>
      <c r="BN22" s="130"/>
      <c r="BO22" s="130"/>
      <c r="BP22" s="130"/>
      <c r="BQ22" s="130"/>
      <c r="BR22" s="130"/>
    </row>
    <row r="23" spans="1:70" ht="18" customHeight="1" x14ac:dyDescent="0.25">
      <c r="A23" s="302">
        <f>'Table 5-A| Primary MPTE'!A55</f>
        <v>0</v>
      </c>
      <c r="B23" s="303">
        <f ca="1">'Table 5-A| Primary MPTE'!B55</f>
        <v>0</v>
      </c>
      <c r="C23" s="305">
        <f ca="1">IFERROR(IF('Table 6-A| Controls &amp; Limits'!C31="Yes",'Table 6-A| Controls &amp; Limits'!E31,'Table 6-A| Controls &amp; Limits'!D31),0)</f>
        <v>0</v>
      </c>
      <c r="D23" s="391">
        <f t="shared" ca="1" si="9"/>
        <v>0</v>
      </c>
      <c r="E23" s="1359"/>
      <c r="F23" s="1362"/>
      <c r="G23" s="1362"/>
      <c r="H23" s="1362"/>
      <c r="I23" s="1362"/>
      <c r="J23" s="1362"/>
      <c r="K23" s="1362"/>
      <c r="L23" s="1362"/>
      <c r="M23" s="1344"/>
      <c r="S23" s="589">
        <f t="shared" ca="1" si="10"/>
        <v>0</v>
      </c>
      <c r="T23" s="590">
        <f t="shared" ca="1" si="1"/>
        <v>0</v>
      </c>
      <c r="U23" s="590">
        <f t="shared" ca="1" si="2"/>
        <v>0</v>
      </c>
      <c r="V23" s="585">
        <f t="shared" ca="1" si="3"/>
        <v>0</v>
      </c>
      <c r="W23" s="585">
        <f t="shared" ca="1" si="4"/>
        <v>0</v>
      </c>
      <c r="X23" s="585">
        <f t="shared" ca="1" si="5"/>
        <v>0</v>
      </c>
      <c r="Y23" s="585">
        <f t="shared" ca="1" si="6"/>
        <v>0</v>
      </c>
      <c r="Z23" s="585">
        <f t="shared" ca="1" si="7"/>
        <v>0</v>
      </c>
      <c r="AA23" s="588">
        <f t="shared" ca="1" si="8"/>
        <v>0</v>
      </c>
      <c r="AC23" s="589">
        <f ca="1">IFERROR(IF(OR($B23=$AM$13,$B23=$AM$15,$B23=$AM$30,$B23=$AM$32),VLOOKUP($B23,$AM$12:$AX$75,3,FALSE)*'Table 3-A| Emission Units'!$G$33,VLOOKUP($B23,$AM$12:$AX$75,3,FALSE)),0)</f>
        <v>0</v>
      </c>
      <c r="AD23" s="590">
        <f ca="1">IFERROR(IF(OR($B23=$AM$13,$B23=$AM$15,$B23=$AM$30,$B23=$AM$32),VLOOKUP($B23,$AM$12:$AX$75,4,FALSE)*'Table 3-A| Emission Units'!$G$33,VLOOKUP($B23,$AM$12:$AX$75,4,FALSE)),0)</f>
        <v>0</v>
      </c>
      <c r="AE23" s="590">
        <f t="shared" ref="AE23:AE27" ca="1" si="42">IFERROR(VLOOKUP($B23,$AM$12:$AX$75,5,FALSE),0)</f>
        <v>0</v>
      </c>
      <c r="AF23" s="585">
        <f ca="1">IFERROR(IF(OR($B23=$AM$13,$B23=$AM$15,$B23=$AM$30,$B23=$AM$32),VLOOKUP($B23,$AM$12:$AX$75,6,FALSE)*'Table 3-A| Emission Units'!$H$33,VLOOKUP($B23,$AM$12:$AX$75,6,FALSE)),0)</f>
        <v>0</v>
      </c>
      <c r="AG23" s="585">
        <f t="shared" ca="1" si="12"/>
        <v>0</v>
      </c>
      <c r="AH23" s="585">
        <f t="shared" ca="1" si="13"/>
        <v>0</v>
      </c>
      <c r="AI23" s="585">
        <f t="shared" ca="1" si="14"/>
        <v>0</v>
      </c>
      <c r="AJ23" s="585">
        <f t="shared" ca="1" si="15"/>
        <v>0</v>
      </c>
      <c r="AK23" s="588">
        <f t="shared" ca="1" si="16"/>
        <v>0</v>
      </c>
      <c r="AM23" s="66">
        <v>10200505</v>
      </c>
      <c r="AN23" s="68" t="s">
        <v>2308</v>
      </c>
      <c r="AO23" s="762">
        <v>2.363</v>
      </c>
      <c r="AP23" s="762">
        <v>1.5289999999999999</v>
      </c>
      <c r="AQ23" s="762">
        <v>20.015999999999998</v>
      </c>
      <c r="AR23" s="762">
        <v>7.2279999999999998</v>
      </c>
      <c r="AS23" s="762">
        <v>0.20016</v>
      </c>
      <c r="AT23" s="762">
        <v>5.0039999999999996</v>
      </c>
      <c r="AU23" s="762">
        <v>25001.839650000005</v>
      </c>
      <c r="AV23" s="629">
        <v>6.4748201438848928E-8</v>
      </c>
      <c r="AW23" s="629">
        <v>6.1020999999999999E-2</v>
      </c>
      <c r="AX23" s="756" t="s">
        <v>1506</v>
      </c>
      <c r="AY23" s="781">
        <v>139</v>
      </c>
      <c r="AZ23" s="68"/>
      <c r="BA23" s="66"/>
      <c r="BB23" s="68"/>
      <c r="BH23" s="130"/>
      <c r="BI23" s="130"/>
      <c r="BJ23" s="130"/>
      <c r="BK23" s="130"/>
      <c r="BL23" s="130"/>
      <c r="BM23" s="130"/>
      <c r="BN23" s="130"/>
      <c r="BO23" s="130"/>
      <c r="BP23" s="130"/>
      <c r="BQ23" s="130"/>
      <c r="BR23" s="130"/>
    </row>
    <row r="24" spans="1:70" ht="18" customHeight="1" thickBot="1" x14ac:dyDescent="0.3">
      <c r="A24" s="309">
        <f>'Table 5-A| Primary MPTE'!A56</f>
        <v>0</v>
      </c>
      <c r="B24" s="310">
        <f ca="1">'Table 5-A| Primary MPTE'!B56</f>
        <v>0</v>
      </c>
      <c r="C24" s="312">
        <f ca="1">IFERROR(IF('Table 6-A| Controls &amp; Limits'!C32="Yes",'Table 6-A| Controls &amp; Limits'!E32,'Table 6-A| Controls &amp; Limits'!D32),0)</f>
        <v>0</v>
      </c>
      <c r="D24" s="395">
        <f t="shared" ca="1" si="9"/>
        <v>0</v>
      </c>
      <c r="E24" s="1360"/>
      <c r="F24" s="1363"/>
      <c r="G24" s="1363"/>
      <c r="H24" s="1363"/>
      <c r="I24" s="1363"/>
      <c r="J24" s="1363"/>
      <c r="K24" s="1363"/>
      <c r="L24" s="1363"/>
      <c r="M24" s="1345"/>
      <c r="S24" s="768">
        <f t="shared" ca="1" si="10"/>
        <v>0</v>
      </c>
      <c r="T24" s="769">
        <f t="shared" ca="1" si="1"/>
        <v>0</v>
      </c>
      <c r="U24" s="769">
        <f t="shared" ca="1" si="2"/>
        <v>0</v>
      </c>
      <c r="V24" s="592">
        <f t="shared" ca="1" si="3"/>
        <v>0</v>
      </c>
      <c r="W24" s="592">
        <f t="shared" ca="1" si="4"/>
        <v>0</v>
      </c>
      <c r="X24" s="592">
        <f t="shared" ca="1" si="5"/>
        <v>0</v>
      </c>
      <c r="Y24" s="592">
        <f t="shared" ca="1" si="6"/>
        <v>0</v>
      </c>
      <c r="Z24" s="592">
        <f t="shared" ca="1" si="7"/>
        <v>0</v>
      </c>
      <c r="AA24" s="593">
        <f t="shared" ca="1" si="8"/>
        <v>0</v>
      </c>
      <c r="AC24" s="768">
        <f ca="1">IFERROR(IF(OR($B24=$AM$13,$B24=$AM$15,$B24=$AM$30,$B24=$AM$32),VLOOKUP($B24,$AM$12:$AX$75,3,FALSE)*'Table 3-A| Emission Units'!$G$33,VLOOKUP($B24,$AM$12:$AX$75,3,FALSE)),0)</f>
        <v>0</v>
      </c>
      <c r="AD24" s="769">
        <f ca="1">IFERROR(IF(OR($B24=$AM$13,$B24=$AM$15,$B24=$AM$30,$B24=$AM$32),VLOOKUP($B24,$AM$12:$AX$75,4,FALSE)*'Table 3-A| Emission Units'!$G$33,VLOOKUP($B24,$AM$12:$AX$75,4,FALSE)),0)</f>
        <v>0</v>
      </c>
      <c r="AE24" s="769">
        <f t="shared" ca="1" si="42"/>
        <v>0</v>
      </c>
      <c r="AF24" s="592">
        <f ca="1">IFERROR(IF(OR($B24=$AM$13,$B24=$AM$15,$B24=$AM$30,$B24=$AM$32),VLOOKUP($B24,$AM$12:$AX$75,6,FALSE)*'Table 3-A| Emission Units'!$H$33,VLOOKUP($B24,$AM$12:$AX$75,6,FALSE)),0)</f>
        <v>0</v>
      </c>
      <c r="AG24" s="592">
        <f t="shared" ca="1" si="12"/>
        <v>0</v>
      </c>
      <c r="AH24" s="592">
        <f t="shared" ca="1" si="13"/>
        <v>0</v>
      </c>
      <c r="AI24" s="592">
        <f t="shared" ca="1" si="14"/>
        <v>0</v>
      </c>
      <c r="AJ24" s="592">
        <f t="shared" ca="1" si="15"/>
        <v>0</v>
      </c>
      <c r="AK24" s="593">
        <f t="shared" ca="1" si="16"/>
        <v>0</v>
      </c>
      <c r="AM24" s="66">
        <v>10200601</v>
      </c>
      <c r="AN24" s="68" t="s">
        <v>2288</v>
      </c>
      <c r="AO24" s="762">
        <v>7.5990000000000002</v>
      </c>
      <c r="AP24" s="762">
        <v>7.5990000000000002</v>
      </c>
      <c r="AQ24" s="762">
        <v>139.74</v>
      </c>
      <c r="AR24" s="762">
        <v>0.59975999999999996</v>
      </c>
      <c r="AS24" s="762">
        <v>5.4977999999999998</v>
      </c>
      <c r="AT24" s="762">
        <v>83.64</v>
      </c>
      <c r="AU24" s="762">
        <v>120713.86860000002</v>
      </c>
      <c r="AV24" s="629">
        <v>5.0000000000000001E-4</v>
      </c>
      <c r="AW24" s="629">
        <v>1.887</v>
      </c>
      <c r="AX24" s="756" t="s">
        <v>1505</v>
      </c>
      <c r="AY24" s="781">
        <v>1020</v>
      </c>
      <c r="AZ24" s="68"/>
      <c r="BA24" s="66"/>
      <c r="BB24" s="68"/>
      <c r="BH24" s="130"/>
      <c r="BI24" s="130"/>
      <c r="BJ24" s="130"/>
      <c r="BK24" s="130"/>
      <c r="BL24" s="130"/>
      <c r="BM24" s="130"/>
      <c r="BN24" s="130"/>
      <c r="BO24" s="130"/>
      <c r="BP24" s="130"/>
      <c r="BQ24" s="130"/>
      <c r="BR24" s="130"/>
    </row>
    <row r="25" spans="1:70" ht="18" customHeight="1" x14ac:dyDescent="0.25">
      <c r="A25" s="630">
        <f>'Table 5-A| Primary MPTE'!A57</f>
        <v>0</v>
      </c>
      <c r="B25" s="626">
        <f ca="1">'Table 5-A| Primary MPTE'!B57</f>
        <v>0</v>
      </c>
      <c r="C25" s="631">
        <f ca="1">IFERROR(IF('Table 6-A| Controls &amp; Limits'!C33="Yes",'Table 6-A| Controls &amp; Limits'!E33,'Table 6-A| Controls &amp; Limits'!D33),0)</f>
        <v>0</v>
      </c>
      <c r="D25" s="625">
        <f t="shared" ca="1" si="9"/>
        <v>0</v>
      </c>
      <c r="E25" s="1358">
        <f ca="1">LARGE(S25:S27,1)</f>
        <v>0</v>
      </c>
      <c r="F25" s="1361">
        <f t="shared" ref="F25" ca="1" si="43">LARGE(T25:T27,1)</f>
        <v>0</v>
      </c>
      <c r="G25" s="1361">
        <f t="shared" ref="G25" ca="1" si="44">LARGE(U25:U27,1)</f>
        <v>0</v>
      </c>
      <c r="H25" s="1361">
        <f t="shared" ref="H25" ca="1" si="45">LARGE(V25:V27,1)</f>
        <v>0</v>
      </c>
      <c r="I25" s="1361">
        <f t="shared" ref="I25" ca="1" si="46">LARGE(W25:W27,1)</f>
        <v>0</v>
      </c>
      <c r="J25" s="1361">
        <f t="shared" ref="J25" ca="1" si="47">LARGE(X25:X27,1)</f>
        <v>0</v>
      </c>
      <c r="K25" s="1361">
        <f t="shared" ref="K25" ca="1" si="48">LARGE(Y25:Y27,1)</f>
        <v>0</v>
      </c>
      <c r="L25" s="1361">
        <f t="shared" ref="L25" ca="1" si="49">LARGE(Z25:Z27,1)</f>
        <v>0</v>
      </c>
      <c r="M25" s="1343">
        <f t="shared" ref="M25" ca="1" si="50">LARGE(AA25:AA27,1)</f>
        <v>0</v>
      </c>
      <c r="S25" s="766">
        <f t="shared" ca="1" si="10"/>
        <v>0</v>
      </c>
      <c r="T25" s="767">
        <f t="shared" ca="1" si="1"/>
        <v>0</v>
      </c>
      <c r="U25" s="767">
        <f t="shared" ca="1" si="2"/>
        <v>0</v>
      </c>
      <c r="V25" s="584">
        <f t="shared" ca="1" si="3"/>
        <v>0</v>
      </c>
      <c r="W25" s="584">
        <f t="shared" ca="1" si="4"/>
        <v>0</v>
      </c>
      <c r="X25" s="584">
        <f t="shared" ca="1" si="5"/>
        <v>0</v>
      </c>
      <c r="Y25" s="584">
        <f t="shared" ca="1" si="6"/>
        <v>0</v>
      </c>
      <c r="Z25" s="584">
        <f t="shared" ca="1" si="7"/>
        <v>0</v>
      </c>
      <c r="AA25" s="765">
        <f t="shared" ca="1" si="8"/>
        <v>0</v>
      </c>
      <c r="AC25" s="589">
        <f ca="1">IFERROR(IF(OR($B25=$AM$13,$B25=$AM$15,$B25=$AM$30,$B25=$AM$32),VLOOKUP($B25,$AM$12:$AX$75,3,FALSE)*'Table 3-A| Emission Units'!$G$39,VLOOKUP($B25,$AM$12:$AX$75,3,FALSE)),0)</f>
        <v>0</v>
      </c>
      <c r="AD25" s="590">
        <f ca="1">IFERROR(IF(OR($B25=$AM$13,$B25=$AM$15,$B25=$AM$30,$B25=$AM$32),VLOOKUP($B25,$AM$12:$AX$75,4,FALSE)*'Table 3-A| Emission Units'!$G$39,VLOOKUP($B25,$AM$12:$AX$75,4,FALSE)),0)</f>
        <v>0</v>
      </c>
      <c r="AE25" s="590">
        <f t="shared" ca="1" si="42"/>
        <v>0</v>
      </c>
      <c r="AF25" s="585">
        <f ca="1">IFERROR(IF(OR($B25=$AM$13,$B25=$AM$15,$B25=$AM$30,$B25=$AM$32),VLOOKUP($B25,$AM$12:$AX$75,6,FALSE)*'Table 3-A| Emission Units'!$H$39,VLOOKUP($B25,$AM$12:$AX$75,6,FALSE)),0)</f>
        <v>0</v>
      </c>
      <c r="AG25" s="585">
        <f t="shared" ca="1" si="12"/>
        <v>0</v>
      </c>
      <c r="AH25" s="585">
        <f t="shared" ca="1" si="13"/>
        <v>0</v>
      </c>
      <c r="AI25" s="585">
        <f t="shared" ca="1" si="14"/>
        <v>0</v>
      </c>
      <c r="AJ25" s="585">
        <f t="shared" ca="1" si="15"/>
        <v>0</v>
      </c>
      <c r="AK25" s="588">
        <f t="shared" ca="1" si="16"/>
        <v>0</v>
      </c>
      <c r="AM25" s="66">
        <v>10200602</v>
      </c>
      <c r="AN25" s="68" t="s">
        <v>2289</v>
      </c>
      <c r="AO25" s="762">
        <v>7.5990000000000002</v>
      </c>
      <c r="AP25" s="762">
        <v>7.5990000000000002</v>
      </c>
      <c r="AQ25" s="762">
        <v>99.960000000000008</v>
      </c>
      <c r="AR25" s="762">
        <v>0.59975999999999996</v>
      </c>
      <c r="AS25" s="762">
        <v>5.4977999999999998</v>
      </c>
      <c r="AT25" s="762">
        <v>83.64</v>
      </c>
      <c r="AU25" s="762">
        <v>120713.86860000002</v>
      </c>
      <c r="AV25" s="629">
        <v>5.0000000000000001E-4</v>
      </c>
      <c r="AW25" s="629">
        <v>1.887</v>
      </c>
      <c r="AX25" s="756" t="s">
        <v>1505</v>
      </c>
      <c r="AY25" s="781">
        <v>1020</v>
      </c>
      <c r="AZ25" s="68"/>
      <c r="BA25" s="66"/>
      <c r="BB25" s="68"/>
      <c r="BH25" s="130"/>
      <c r="BI25" s="130"/>
      <c r="BJ25" s="130"/>
      <c r="BK25" s="130"/>
      <c r="BL25" s="130"/>
      <c r="BM25" s="130"/>
      <c r="BN25" s="130"/>
      <c r="BO25" s="130"/>
      <c r="BP25" s="130"/>
      <c r="BQ25" s="130"/>
      <c r="BR25" s="130"/>
    </row>
    <row r="26" spans="1:70" ht="18" customHeight="1" x14ac:dyDescent="0.25">
      <c r="A26" s="302">
        <f>'Table 5-A| Primary MPTE'!A58</f>
        <v>0</v>
      </c>
      <c r="B26" s="303">
        <f ca="1">'Table 5-A| Primary MPTE'!B58</f>
        <v>0</v>
      </c>
      <c r="C26" s="305">
        <f ca="1">IFERROR(IF('Table 6-A| Controls &amp; Limits'!C34="Yes",'Table 6-A| Controls &amp; Limits'!E34,'Table 6-A| Controls &amp; Limits'!D34),0)</f>
        <v>0</v>
      </c>
      <c r="D26" s="391">
        <f t="shared" ca="1" si="9"/>
        <v>0</v>
      </c>
      <c r="E26" s="1359"/>
      <c r="F26" s="1362"/>
      <c r="G26" s="1362"/>
      <c r="H26" s="1362"/>
      <c r="I26" s="1362"/>
      <c r="J26" s="1362"/>
      <c r="K26" s="1362"/>
      <c r="L26" s="1362"/>
      <c r="M26" s="1344"/>
      <c r="S26" s="589">
        <f t="shared" ca="1" si="10"/>
        <v>0</v>
      </c>
      <c r="T26" s="590">
        <f t="shared" ca="1" si="1"/>
        <v>0</v>
      </c>
      <c r="U26" s="590">
        <f t="shared" ca="1" si="2"/>
        <v>0</v>
      </c>
      <c r="V26" s="585">
        <f t="shared" ca="1" si="3"/>
        <v>0</v>
      </c>
      <c r="W26" s="585">
        <f t="shared" ca="1" si="4"/>
        <v>0</v>
      </c>
      <c r="X26" s="585">
        <f t="shared" ca="1" si="5"/>
        <v>0</v>
      </c>
      <c r="Y26" s="585">
        <f t="shared" ca="1" si="6"/>
        <v>0</v>
      </c>
      <c r="Z26" s="585">
        <f t="shared" ca="1" si="7"/>
        <v>0</v>
      </c>
      <c r="AA26" s="588">
        <f t="shared" ca="1" si="8"/>
        <v>0</v>
      </c>
      <c r="AC26" s="589">
        <f ca="1">IFERROR(IF(OR($B26=$AM$13,$B26=$AM$15,$B26=$AM$30,$B26=$AM$32),VLOOKUP($B26,$AM$12:$AX$75,3,FALSE)*'Table 3-A| Emission Units'!$G$39,VLOOKUP($B26,$AM$12:$AX$75,3,FALSE)),0)</f>
        <v>0</v>
      </c>
      <c r="AD26" s="590">
        <f ca="1">IFERROR(IF(OR($B26=$AM$13,$B26=$AM$15,$B26=$AM$30,$B26=$AM$32),VLOOKUP($B26,$AM$12:$AX$75,4,FALSE)*'Table 3-A| Emission Units'!$G$39,VLOOKUP($B26,$AM$12:$AX$75,4,FALSE)),0)</f>
        <v>0</v>
      </c>
      <c r="AE26" s="590">
        <f t="shared" ca="1" si="42"/>
        <v>0</v>
      </c>
      <c r="AF26" s="585">
        <f ca="1">IFERROR(IF(OR($B26=$AM$13,$B26=$AM$15,$B26=$AM$30,$B26=$AM$32),VLOOKUP($B26,$AM$12:$AX$75,6,FALSE)*'Table 3-A| Emission Units'!$H$39,VLOOKUP($B26,$AM$12:$AX$75,6,FALSE)),0)</f>
        <v>0</v>
      </c>
      <c r="AG26" s="585">
        <f t="shared" ca="1" si="12"/>
        <v>0</v>
      </c>
      <c r="AH26" s="585">
        <f t="shared" ca="1" si="13"/>
        <v>0</v>
      </c>
      <c r="AI26" s="585">
        <f t="shared" ca="1" si="14"/>
        <v>0</v>
      </c>
      <c r="AJ26" s="585">
        <f t="shared" ca="1" si="15"/>
        <v>0</v>
      </c>
      <c r="AK26" s="588">
        <f t="shared" ca="1" si="16"/>
        <v>0</v>
      </c>
      <c r="AM26" s="66">
        <v>10200603</v>
      </c>
      <c r="AN26" s="68" t="s">
        <v>2290</v>
      </c>
      <c r="AO26" s="762">
        <v>7.5990000000000002</v>
      </c>
      <c r="AP26" s="762">
        <v>7.5990000000000002</v>
      </c>
      <c r="AQ26" s="762">
        <v>99.960000000000008</v>
      </c>
      <c r="AR26" s="762">
        <v>0.59975999999999996</v>
      </c>
      <c r="AS26" s="762">
        <v>5.4977999999999998</v>
      </c>
      <c r="AT26" s="762">
        <v>83.64</v>
      </c>
      <c r="AU26" s="762">
        <v>120713.86860000002</v>
      </c>
      <c r="AV26" s="629">
        <v>5.0000000000000001E-4</v>
      </c>
      <c r="AW26" s="629">
        <v>1.887</v>
      </c>
      <c r="AX26" s="756" t="s">
        <v>1505</v>
      </c>
      <c r="AY26" s="781">
        <v>1020</v>
      </c>
      <c r="AZ26" s="68"/>
      <c r="BA26" s="66"/>
      <c r="BB26" s="68"/>
      <c r="BH26" s="130"/>
      <c r="BI26" s="130"/>
      <c r="BJ26" s="130"/>
      <c r="BK26" s="130"/>
      <c r="BL26" s="130"/>
      <c r="BM26" s="130"/>
      <c r="BN26" s="130"/>
      <c r="BO26" s="130"/>
      <c r="BP26" s="130"/>
      <c r="BQ26" s="130"/>
      <c r="BR26" s="130"/>
    </row>
    <row r="27" spans="1:70" ht="18" customHeight="1" thickBot="1" x14ac:dyDescent="0.3">
      <c r="A27" s="302">
        <f>'Table 5-A| Primary MPTE'!A59</f>
        <v>0</v>
      </c>
      <c r="B27" s="303">
        <f ca="1">'Table 5-A| Primary MPTE'!B59</f>
        <v>0</v>
      </c>
      <c r="C27" s="305">
        <f ca="1">IFERROR(IF('Table 6-A| Controls &amp; Limits'!C35="Yes",'Table 6-A| Controls &amp; Limits'!E35,'Table 6-A| Controls &amp; Limits'!D35),0)</f>
        <v>0</v>
      </c>
      <c r="D27" s="391">
        <f t="shared" ca="1" si="9"/>
        <v>0</v>
      </c>
      <c r="E27" s="1360"/>
      <c r="F27" s="1363"/>
      <c r="G27" s="1363"/>
      <c r="H27" s="1363"/>
      <c r="I27" s="1363"/>
      <c r="J27" s="1363"/>
      <c r="K27" s="1363"/>
      <c r="L27" s="1363"/>
      <c r="M27" s="1345"/>
      <c r="S27" s="589">
        <f t="shared" ca="1" si="10"/>
        <v>0</v>
      </c>
      <c r="T27" s="590">
        <f t="shared" ca="1" si="1"/>
        <v>0</v>
      </c>
      <c r="U27" s="590">
        <f t="shared" ca="1" si="2"/>
        <v>0</v>
      </c>
      <c r="V27" s="585">
        <f t="shared" ca="1" si="3"/>
        <v>0</v>
      </c>
      <c r="W27" s="585">
        <f t="shared" ca="1" si="4"/>
        <v>0</v>
      </c>
      <c r="X27" s="585">
        <f t="shared" ca="1" si="5"/>
        <v>0</v>
      </c>
      <c r="Y27" s="585">
        <f t="shared" ca="1" si="6"/>
        <v>0</v>
      </c>
      <c r="Z27" s="585">
        <f t="shared" ca="1" si="7"/>
        <v>0</v>
      </c>
      <c r="AA27" s="588">
        <f t="shared" ca="1" si="8"/>
        <v>0</v>
      </c>
      <c r="AC27" s="768">
        <f ca="1">IFERROR(IF(OR($B27=$AM$13,$B27=$AM$15,$B27=$AM$30,$B27=$AM$32),VLOOKUP($B27,$AM$12:$AX$75,3,FALSE)*'Table 3-A| Emission Units'!$G$39,VLOOKUP($B27,$AM$12:$AX$75,3,FALSE)),0)</f>
        <v>0</v>
      </c>
      <c r="AD27" s="769">
        <f ca="1">IFERROR(IF(OR($B27=$AM$13,$B27=$AM$15,$B27=$AM$30,$B27=$AM$32),VLOOKUP($B27,$AM$12:$AX$75,4,FALSE)*'Table 3-A| Emission Units'!$G$39,VLOOKUP($B27,$AM$12:$AX$75,4,FALSE)),0)</f>
        <v>0</v>
      </c>
      <c r="AE27" s="769">
        <f t="shared" ca="1" si="42"/>
        <v>0</v>
      </c>
      <c r="AF27" s="592">
        <f ca="1">IFERROR(IF(OR($B27=$AM$13,$B27=$AM$15,$B27=$AM$30,$B27=$AM$32),VLOOKUP($B27,$AM$12:$AX$75,6,FALSE)*'Table 3-A| Emission Units'!$H$39,VLOOKUP($B27,$AM$12:$AX$75,6,FALSE)),0)</f>
        <v>0</v>
      </c>
      <c r="AG27" s="592">
        <f t="shared" ca="1" si="12"/>
        <v>0</v>
      </c>
      <c r="AH27" s="592">
        <f t="shared" ca="1" si="13"/>
        <v>0</v>
      </c>
      <c r="AI27" s="592">
        <f t="shared" ca="1" si="14"/>
        <v>0</v>
      </c>
      <c r="AJ27" s="592">
        <f t="shared" ca="1" si="15"/>
        <v>0</v>
      </c>
      <c r="AK27" s="593">
        <f t="shared" ca="1" si="16"/>
        <v>0</v>
      </c>
      <c r="AM27" s="66">
        <v>10200604</v>
      </c>
      <c r="AN27" s="68" t="s">
        <v>2309</v>
      </c>
      <c r="AO27" s="762">
        <v>7.5990000000000002</v>
      </c>
      <c r="AP27" s="762">
        <v>7.5990000000000002</v>
      </c>
      <c r="AQ27" s="762">
        <v>170.34</v>
      </c>
      <c r="AR27" s="762">
        <v>0.59975999999999996</v>
      </c>
      <c r="AS27" s="762">
        <v>5.4977999999999998</v>
      </c>
      <c r="AT27" s="762">
        <v>24.48</v>
      </c>
      <c r="AU27" s="762">
        <v>120713.86860000002</v>
      </c>
      <c r="AV27" s="629">
        <v>5.0000000000000001E-4</v>
      </c>
      <c r="AW27" s="629">
        <v>1.887</v>
      </c>
      <c r="AX27" s="756" t="s">
        <v>1505</v>
      </c>
      <c r="AY27" s="781">
        <v>1020</v>
      </c>
      <c r="AZ27" s="68"/>
      <c r="BA27" s="66"/>
      <c r="BB27" s="68"/>
      <c r="BH27" s="130"/>
      <c r="BI27" s="130"/>
      <c r="BJ27" s="130"/>
      <c r="BK27" s="130"/>
      <c r="BL27" s="130"/>
      <c r="BM27" s="130"/>
      <c r="BN27" s="130"/>
      <c r="BO27" s="130"/>
      <c r="BP27" s="130"/>
      <c r="BQ27" s="130"/>
      <c r="BR27" s="130"/>
    </row>
    <row r="28" spans="1:70" ht="18" customHeight="1" x14ac:dyDescent="0.25">
      <c r="A28" s="1446" t="str">
        <f>'Table 5-A| Primary MPTE'!A60</f>
        <v>Cooling Tower Emission Units</v>
      </c>
      <c r="B28" s="1447" t="str">
        <f>'Table 5-A| Primary MPTE'!B60</f>
        <v>-</v>
      </c>
      <c r="C28" s="1447" t="str">
        <f>'Table 5-A| Primary MPTE'!C60</f>
        <v>-</v>
      </c>
      <c r="D28" s="1447" t="str">
        <f>'Table 5-A| Primary MPTE'!D60</f>
        <v>-</v>
      </c>
      <c r="E28" s="1447" t="str">
        <f>'Table 5-A| Primary MPTE'!E60</f>
        <v>-</v>
      </c>
      <c r="F28" s="1447" t="str">
        <f>'Table 5-A| Primary MPTE'!F60</f>
        <v>-</v>
      </c>
      <c r="G28" s="1447" t="str">
        <f>'Table 5-A| Primary MPTE'!G60</f>
        <v>-</v>
      </c>
      <c r="H28" s="1447" t="str">
        <f>'Table 5-A| Primary MPTE'!H60</f>
        <v>-</v>
      </c>
      <c r="I28" s="1447" t="str">
        <f>'Table 5-A| Primary MPTE'!I60</f>
        <v>-</v>
      </c>
      <c r="J28" s="1447" t="str">
        <f>'Table 5-A| Primary MPTE'!J60</f>
        <v>-</v>
      </c>
      <c r="K28" s="1447" t="str">
        <f>'Table 5-A| Primary MPTE'!K60</f>
        <v>-</v>
      </c>
      <c r="L28" s="1447" t="str">
        <f>'Table 5-A| Primary MPTE'!L60</f>
        <v>-</v>
      </c>
      <c r="M28" s="1448" t="str">
        <f>'Table 5-A| Primary MPTE'!M60</f>
        <v>-</v>
      </c>
      <c r="S28" s="1338"/>
      <c r="T28" s="1339"/>
      <c r="U28" s="1339"/>
      <c r="V28" s="1339"/>
      <c r="W28" s="1339"/>
      <c r="X28" s="1339"/>
      <c r="Y28" s="1339"/>
      <c r="Z28" s="1339"/>
      <c r="AA28" s="1340"/>
      <c r="AC28" s="1349"/>
      <c r="AD28" s="1350"/>
      <c r="AE28" s="1350"/>
      <c r="AF28" s="1350"/>
      <c r="AG28" s="1350"/>
      <c r="AH28" s="1350"/>
      <c r="AI28" s="1350"/>
      <c r="AJ28" s="1350"/>
      <c r="AK28" s="1351"/>
      <c r="AM28" s="66">
        <v>10201002</v>
      </c>
      <c r="AN28" s="68" t="s">
        <v>2322</v>
      </c>
      <c r="AO28" s="762">
        <v>1.09596</v>
      </c>
      <c r="AP28" s="762">
        <v>1.09596</v>
      </c>
      <c r="AQ28" s="762">
        <v>18.996639999999999</v>
      </c>
      <c r="AR28" s="762">
        <v>5.3976030000000001E-2</v>
      </c>
      <c r="AS28" s="762">
        <v>0.49957509999999999</v>
      </c>
      <c r="AT28" s="762">
        <v>3.1965500000000002</v>
      </c>
      <c r="AU28" s="762">
        <v>12505.337417500001</v>
      </c>
      <c r="AV28" s="629">
        <v>0</v>
      </c>
      <c r="AW28" s="629">
        <v>0</v>
      </c>
      <c r="AX28" s="756" t="s">
        <v>1506</v>
      </c>
      <c r="AY28" s="781">
        <v>91.33</v>
      </c>
      <c r="AZ28" s="68"/>
      <c r="BA28" s="66"/>
      <c r="BB28" s="68"/>
      <c r="BH28" s="130"/>
      <c r="BI28" s="130"/>
      <c r="BJ28" s="130"/>
      <c r="BK28" s="130"/>
      <c r="BL28" s="130"/>
      <c r="BM28" s="130"/>
      <c r="BN28" s="130"/>
      <c r="BO28" s="130"/>
      <c r="BP28" s="130"/>
      <c r="BQ28" s="130"/>
      <c r="BR28" s="130"/>
    </row>
    <row r="29" spans="1:70" ht="18" customHeight="1" thickBot="1" x14ac:dyDescent="0.3">
      <c r="A29" s="302">
        <f>'Table 5-A| Primary MPTE'!A61</f>
        <v>0</v>
      </c>
      <c r="B29" s="303">
        <f>'Table 5-A| Primary MPTE'!B61</f>
        <v>0</v>
      </c>
      <c r="C29" s="305"/>
      <c r="D29" s="391">
        <f>IFERROR(VLOOKUP($B29,$AM$12:$AX$75,12,FALSE),0)</f>
        <v>0</v>
      </c>
      <c r="E29" s="392">
        <f>S29</f>
        <v>0</v>
      </c>
      <c r="F29" s="393">
        <f t="shared" ref="F29:M29" si="51">T29</f>
        <v>0</v>
      </c>
      <c r="G29" s="393">
        <f t="shared" si="51"/>
        <v>0</v>
      </c>
      <c r="H29" s="393">
        <f t="shared" si="51"/>
        <v>0</v>
      </c>
      <c r="I29" s="393">
        <f t="shared" si="51"/>
        <v>0</v>
      </c>
      <c r="J29" s="393">
        <f t="shared" si="51"/>
        <v>0</v>
      </c>
      <c r="K29" s="393">
        <f t="shared" si="51"/>
        <v>0</v>
      </c>
      <c r="L29" s="393">
        <f t="shared" si="51"/>
        <v>0</v>
      </c>
      <c r="M29" s="394">
        <f t="shared" si="51"/>
        <v>0</v>
      </c>
      <c r="S29" s="589">
        <f t="shared" ref="S29:AA29" si="52">IFERROR($C29*AC29,0)</f>
        <v>0</v>
      </c>
      <c r="T29" s="590">
        <f t="shared" si="52"/>
        <v>0</v>
      </c>
      <c r="U29" s="590">
        <f t="shared" si="52"/>
        <v>0</v>
      </c>
      <c r="V29" s="585">
        <f t="shared" si="52"/>
        <v>0</v>
      </c>
      <c r="W29" s="585">
        <f t="shared" si="52"/>
        <v>0</v>
      </c>
      <c r="X29" s="585">
        <f t="shared" si="52"/>
        <v>0</v>
      </c>
      <c r="Y29" s="585">
        <f t="shared" si="52"/>
        <v>0</v>
      </c>
      <c r="Z29" s="585">
        <f t="shared" si="52"/>
        <v>0</v>
      </c>
      <c r="AA29" s="588">
        <f t="shared" si="52"/>
        <v>0</v>
      </c>
      <c r="AC29" s="589">
        <f>IFERROR(VLOOKUP($B29,$AM$12:$AX$75,3,FALSE),0)</f>
        <v>0</v>
      </c>
      <c r="AD29" s="590">
        <f>IFERROR(VLOOKUP($B29,$AM$12:$AX$75,4,FALSE),0)</f>
        <v>0</v>
      </c>
      <c r="AE29" s="590">
        <f>IFERROR(VLOOKUP($B29,$AM$12:$AX$75,5,FALSE),0)</f>
        <v>0</v>
      </c>
      <c r="AF29" s="585">
        <f>IFERROR(VLOOKUP($B29,$AM$12:$AX$75,6,FALSE),0)</f>
        <v>0</v>
      </c>
      <c r="AG29" s="585">
        <f>IFERROR(VLOOKUP($B29,$AM$12:$AX$75,7,FALSE),0)</f>
        <v>0</v>
      </c>
      <c r="AH29" s="585">
        <f>IFERROR(VLOOKUP($B29,$AM$12:$AX$75,8,FALSE),0)</f>
        <v>0</v>
      </c>
      <c r="AI29" s="585">
        <f>IFERROR(VLOOKUP($B29,$AM$12:$AX$75,9,FALSE),0)</f>
        <v>0</v>
      </c>
      <c r="AJ29" s="585">
        <f>IFERROR(VLOOKUP($B29,$AM$12:$AX$75,10,FALSE),0)</f>
        <v>0</v>
      </c>
      <c r="AK29" s="588">
        <f>IFERROR(VLOOKUP($B29,$AM$12:$AX$75,11,FALSE),0)</f>
        <v>0</v>
      </c>
      <c r="AM29" s="66">
        <v>10300209</v>
      </c>
      <c r="AN29" s="68" t="s">
        <v>2318</v>
      </c>
      <c r="AO29" s="762">
        <v>18.72</v>
      </c>
      <c r="AP29" s="762">
        <v>7.4399999999999995</v>
      </c>
      <c r="AQ29" s="762">
        <v>5.2459016393442623E-2</v>
      </c>
      <c r="AR29" s="763">
        <v>49.92</v>
      </c>
      <c r="AS29" s="762">
        <v>6.5573770491803282E-2</v>
      </c>
      <c r="AT29" s="762">
        <v>6.48</v>
      </c>
      <c r="AU29" s="762">
        <v>6013.4438399999999</v>
      </c>
      <c r="AV29" s="629">
        <v>1.2167999999999998E-2</v>
      </c>
      <c r="AW29" s="629">
        <v>1.839744</v>
      </c>
      <c r="AX29" s="756" t="s">
        <v>2333</v>
      </c>
      <c r="AY29" s="781">
        <v>24</v>
      </c>
      <c r="AZ29" s="68"/>
      <c r="BA29" s="66"/>
      <c r="BB29" s="68"/>
      <c r="BH29" s="130"/>
      <c r="BI29" s="130"/>
      <c r="BJ29" s="130"/>
      <c r="BK29" s="130"/>
      <c r="BL29" s="130"/>
      <c r="BM29" s="130"/>
      <c r="BN29" s="130"/>
      <c r="BO29" s="130"/>
      <c r="BP29" s="130"/>
      <c r="BQ29" s="130"/>
      <c r="BR29" s="130"/>
    </row>
    <row r="30" spans="1:70" ht="18" customHeight="1" x14ac:dyDescent="0.25">
      <c r="A30" s="1446" t="str">
        <f>'Table 5-A| Primary MPTE'!A62</f>
        <v>Combustion Turbine Emission Units</v>
      </c>
      <c r="B30" s="1447" t="str">
        <f>'Table 5-A| Primary MPTE'!B62</f>
        <v>-</v>
      </c>
      <c r="C30" s="1447" t="str">
        <f>'Table 5-A| Primary MPTE'!C62</f>
        <v>-</v>
      </c>
      <c r="D30" s="1447" t="str">
        <f>'Table 5-A| Primary MPTE'!D62</f>
        <v>-</v>
      </c>
      <c r="E30" s="1447" t="str">
        <f>'Table 5-A| Primary MPTE'!E62</f>
        <v>-</v>
      </c>
      <c r="F30" s="1447" t="str">
        <f>'Table 5-A| Primary MPTE'!F62</f>
        <v>-</v>
      </c>
      <c r="G30" s="1447" t="str">
        <f>'Table 5-A| Primary MPTE'!G62</f>
        <v>-</v>
      </c>
      <c r="H30" s="1447" t="str">
        <f>'Table 5-A| Primary MPTE'!H62</f>
        <v>-</v>
      </c>
      <c r="I30" s="1447" t="str">
        <f>'Table 5-A| Primary MPTE'!I62</f>
        <v>-</v>
      </c>
      <c r="J30" s="1447" t="str">
        <f>'Table 5-A| Primary MPTE'!J62</f>
        <v>-</v>
      </c>
      <c r="K30" s="1447" t="str">
        <f>'Table 5-A| Primary MPTE'!K62</f>
        <v>-</v>
      </c>
      <c r="L30" s="1447" t="str">
        <f>'Table 5-A| Primary MPTE'!L62</f>
        <v>-</v>
      </c>
      <c r="M30" s="1448" t="str">
        <f>'Table 5-A| Primary MPTE'!M62</f>
        <v>-</v>
      </c>
      <c r="S30" s="1338"/>
      <c r="T30" s="1339"/>
      <c r="U30" s="1339"/>
      <c r="V30" s="1339"/>
      <c r="W30" s="1339"/>
      <c r="X30" s="1339"/>
      <c r="Y30" s="1339"/>
      <c r="Z30" s="1339"/>
      <c r="AA30" s="1340"/>
      <c r="AC30" s="1338"/>
      <c r="AD30" s="1339"/>
      <c r="AE30" s="1339"/>
      <c r="AF30" s="1339"/>
      <c r="AG30" s="1339"/>
      <c r="AH30" s="1339"/>
      <c r="AI30" s="1339"/>
      <c r="AJ30" s="1339"/>
      <c r="AK30" s="1340"/>
      <c r="AM30" s="66">
        <v>10300219</v>
      </c>
      <c r="AN30" s="68" t="s">
        <v>2313</v>
      </c>
      <c r="AO30" s="764">
        <v>2.3040000000000003</v>
      </c>
      <c r="AP30" s="764">
        <v>0.60000000000000009</v>
      </c>
      <c r="AQ30" s="762">
        <v>15.120000000000001</v>
      </c>
      <c r="AR30" s="763">
        <v>39</v>
      </c>
      <c r="AS30" s="762">
        <v>7.0000000000000007E-2</v>
      </c>
      <c r="AT30" s="762">
        <v>0.72</v>
      </c>
      <c r="AU30" s="762">
        <v>6013.4438399999999</v>
      </c>
      <c r="AV30" s="629">
        <v>4.1999999999999996E-4</v>
      </c>
      <c r="AW30" s="629">
        <v>1.3620000000000001</v>
      </c>
      <c r="AX30" s="756" t="s">
        <v>2333</v>
      </c>
      <c r="AY30" s="781">
        <v>24</v>
      </c>
      <c r="AZ30" s="68"/>
      <c r="BA30" s="66"/>
      <c r="BB30" s="68"/>
      <c r="BH30" s="130"/>
      <c r="BI30" s="130"/>
      <c r="BJ30" s="130"/>
      <c r="BK30" s="130"/>
      <c r="BL30" s="130"/>
      <c r="BM30" s="130"/>
      <c r="BN30" s="130"/>
      <c r="BO30" s="130"/>
      <c r="BP30" s="130"/>
      <c r="BQ30" s="130"/>
      <c r="BR30" s="130"/>
    </row>
    <row r="31" spans="1:70" ht="18" customHeight="1" x14ac:dyDescent="0.25">
      <c r="A31" s="630">
        <f>'Table 5-A| Primary MPTE'!A63</f>
        <v>0</v>
      </c>
      <c r="B31" s="626">
        <f ca="1">'Table 5-A| Primary MPTE'!B63</f>
        <v>0</v>
      </c>
      <c r="C31" s="631">
        <f ca="1">IFERROR(IF('Table 6-A| Controls &amp; Limits'!C39="Yes",'Table 6-A| Controls &amp; Limits'!E39,'Table 6-A| Controls &amp; Limits'!D39),0)</f>
        <v>0</v>
      </c>
      <c r="D31" s="625">
        <f t="shared" ref="D31:D36" ca="1" si="53">IFERROR(VLOOKUP($B31,$AM$12:$AX$75,12,FALSE),0)</f>
        <v>0</v>
      </c>
      <c r="E31" s="1358">
        <f ca="1">LARGE(S31:S32,1)</f>
        <v>0</v>
      </c>
      <c r="F31" s="1361">
        <f t="shared" ref="F31:M31" ca="1" si="54">LARGE(T31:T32,1)</f>
        <v>0</v>
      </c>
      <c r="G31" s="1361">
        <f t="shared" ca="1" si="54"/>
        <v>0</v>
      </c>
      <c r="H31" s="1361">
        <f t="shared" ca="1" si="54"/>
        <v>0</v>
      </c>
      <c r="I31" s="1361">
        <f t="shared" ca="1" si="54"/>
        <v>0</v>
      </c>
      <c r="J31" s="1361">
        <f t="shared" ca="1" si="54"/>
        <v>0</v>
      </c>
      <c r="K31" s="1361">
        <f t="shared" ca="1" si="54"/>
        <v>0</v>
      </c>
      <c r="L31" s="1361">
        <f t="shared" ca="1" si="54"/>
        <v>0</v>
      </c>
      <c r="M31" s="1343">
        <f t="shared" ca="1" si="54"/>
        <v>0</v>
      </c>
      <c r="S31" s="589">
        <f t="shared" ref="S31:S36" ca="1" si="55">IFERROR($C31*AC31,0)</f>
        <v>0</v>
      </c>
      <c r="T31" s="590">
        <f t="shared" ref="T31:T36" ca="1" si="56">IFERROR($C31*AD31,0)</f>
        <v>0</v>
      </c>
      <c r="U31" s="590">
        <f t="shared" ref="U31:U36" ca="1" si="57">IFERROR($C31*AE31,0)</f>
        <v>0</v>
      </c>
      <c r="V31" s="585">
        <f t="shared" ref="V31:V36" ca="1" si="58">IFERROR($C31*AF31,0)</f>
        <v>0</v>
      </c>
      <c r="W31" s="585">
        <f t="shared" ref="W31:W36" ca="1" si="59">IFERROR($C31*AG31,0)</f>
        <v>0</v>
      </c>
      <c r="X31" s="585">
        <f t="shared" ref="X31:X36" ca="1" si="60">IFERROR($C31*AH31,0)</f>
        <v>0</v>
      </c>
      <c r="Y31" s="585">
        <f t="shared" ref="Y31:Y36" ca="1" si="61">IFERROR($C31*AI31,0)</f>
        <v>0</v>
      </c>
      <c r="Z31" s="585">
        <f t="shared" ref="Z31:Z36" ca="1" si="62">IFERROR($C31*AJ31,0)</f>
        <v>0</v>
      </c>
      <c r="AA31" s="588">
        <f t="shared" ref="AA31:AA36" ca="1" si="63">IFERROR($C31*AK31,0)</f>
        <v>0</v>
      </c>
      <c r="AC31" s="589">
        <f t="shared" ref="AC31:AC36" ca="1" si="64">IFERROR(VLOOKUP($B31,$AM$12:$AX$75,3,FALSE),0)</f>
        <v>0</v>
      </c>
      <c r="AD31" s="590">
        <f t="shared" ref="AD31:AD36" ca="1" si="65">IFERROR(VLOOKUP($B31,$AM$12:$AX$75,4,FALSE),0)</f>
        <v>0</v>
      </c>
      <c r="AE31" s="590">
        <f t="shared" ref="AE31:AE36" ca="1" si="66">IFERROR(VLOOKUP($B31,$AM$12:$AX$75,5,FALSE),0)</f>
        <v>0</v>
      </c>
      <c r="AF31" s="585">
        <f t="shared" ref="AF31:AF36" ca="1" si="67">IFERROR(VLOOKUP($B31,$AM$12:$AX$75,6,FALSE),0)</f>
        <v>0</v>
      </c>
      <c r="AG31" s="585">
        <f t="shared" ref="AG31:AG36" ca="1" si="68">IFERROR(VLOOKUP($B31,$AM$12:$AX$75,7,FALSE),0)</f>
        <v>0</v>
      </c>
      <c r="AH31" s="585">
        <f t="shared" ref="AH31:AH36" ca="1" si="69">IFERROR(VLOOKUP($B31,$AM$12:$AX$75,8,FALSE),0)</f>
        <v>0</v>
      </c>
      <c r="AI31" s="585">
        <f t="shared" ref="AI31:AI36" ca="1" si="70">IFERROR(VLOOKUP($B31,$AM$12:$AX$75,9,FALSE),0)</f>
        <v>0</v>
      </c>
      <c r="AJ31" s="585">
        <f t="shared" ref="AJ31:AJ36" ca="1" si="71">IFERROR(VLOOKUP($B31,$AM$12:$AX$75,10,FALSE),0)</f>
        <v>0</v>
      </c>
      <c r="AK31" s="588">
        <f t="shared" ref="AK31:AK36" ca="1" si="72">IFERROR(VLOOKUP($B31,$AM$12:$AX$75,11,FALSE),0)</f>
        <v>0</v>
      </c>
      <c r="AM31" s="66">
        <v>10300224</v>
      </c>
      <c r="AN31" s="68" t="s">
        <v>2319</v>
      </c>
      <c r="AO31" s="762">
        <v>14.091000000000001</v>
      </c>
      <c r="AP31" s="762">
        <v>5.49</v>
      </c>
      <c r="AQ31" s="762">
        <v>8.7840000000000007</v>
      </c>
      <c r="AR31" s="763">
        <v>35.007899999999999</v>
      </c>
      <c r="AS31" s="762">
        <v>0.05</v>
      </c>
      <c r="AT31" s="762">
        <v>4.9410000000000007</v>
      </c>
      <c r="AU31" s="762">
        <v>4822.6835460000002</v>
      </c>
      <c r="AV31" s="629">
        <v>9.2780999999999992E-3</v>
      </c>
      <c r="AW31" s="629">
        <v>1.4028048000000002</v>
      </c>
      <c r="AX31" s="756" t="s">
        <v>2333</v>
      </c>
      <c r="AY31" s="781">
        <v>18.3</v>
      </c>
      <c r="AZ31" s="68"/>
      <c r="BA31" s="66"/>
      <c r="BB31" s="68"/>
      <c r="BH31" s="130"/>
      <c r="BI31" s="130"/>
      <c r="BJ31" s="130"/>
      <c r="BK31" s="130"/>
      <c r="BL31" s="130"/>
      <c r="BM31" s="130"/>
      <c r="BN31" s="130"/>
      <c r="BO31" s="130"/>
      <c r="BP31" s="130"/>
      <c r="BQ31" s="130"/>
      <c r="BR31" s="130"/>
    </row>
    <row r="32" spans="1:70" ht="18" customHeight="1" thickBot="1" x14ac:dyDescent="0.3">
      <c r="A32" s="309">
        <f>'Table 5-A| Primary MPTE'!A64</f>
        <v>0</v>
      </c>
      <c r="B32" s="310">
        <f ca="1">'Table 5-A| Primary MPTE'!B64</f>
        <v>0</v>
      </c>
      <c r="C32" s="312">
        <f ca="1">IFERROR(IF('Table 6-A| Controls &amp; Limits'!C40="Yes",'Table 6-A| Controls &amp; Limits'!E40,'Table 6-A| Controls &amp; Limits'!D40),0)</f>
        <v>0</v>
      </c>
      <c r="D32" s="395">
        <f t="shared" ca="1" si="53"/>
        <v>0</v>
      </c>
      <c r="E32" s="1360"/>
      <c r="F32" s="1363"/>
      <c r="G32" s="1363"/>
      <c r="H32" s="1363"/>
      <c r="I32" s="1363"/>
      <c r="J32" s="1363"/>
      <c r="K32" s="1363"/>
      <c r="L32" s="1363"/>
      <c r="M32" s="1345"/>
      <c r="S32" s="768">
        <f t="shared" ca="1" si="55"/>
        <v>0</v>
      </c>
      <c r="T32" s="769">
        <f t="shared" ca="1" si="56"/>
        <v>0</v>
      </c>
      <c r="U32" s="769">
        <f t="shared" ca="1" si="57"/>
        <v>0</v>
      </c>
      <c r="V32" s="592">
        <f t="shared" ca="1" si="58"/>
        <v>0</v>
      </c>
      <c r="W32" s="592">
        <f t="shared" ca="1" si="59"/>
        <v>0</v>
      </c>
      <c r="X32" s="592">
        <f t="shared" ca="1" si="60"/>
        <v>0</v>
      </c>
      <c r="Y32" s="592">
        <f t="shared" ca="1" si="61"/>
        <v>0</v>
      </c>
      <c r="Z32" s="592">
        <f t="shared" ca="1" si="62"/>
        <v>0</v>
      </c>
      <c r="AA32" s="593">
        <f t="shared" ca="1" si="63"/>
        <v>0</v>
      </c>
      <c r="AC32" s="768">
        <f t="shared" ca="1" si="64"/>
        <v>0</v>
      </c>
      <c r="AD32" s="769">
        <f t="shared" ca="1" si="65"/>
        <v>0</v>
      </c>
      <c r="AE32" s="769">
        <f t="shared" ca="1" si="66"/>
        <v>0</v>
      </c>
      <c r="AF32" s="592">
        <f t="shared" ca="1" si="67"/>
        <v>0</v>
      </c>
      <c r="AG32" s="592">
        <f t="shared" ca="1" si="68"/>
        <v>0</v>
      </c>
      <c r="AH32" s="592">
        <f t="shared" ca="1" si="69"/>
        <v>0</v>
      </c>
      <c r="AI32" s="592">
        <f t="shared" ca="1" si="70"/>
        <v>0</v>
      </c>
      <c r="AJ32" s="592">
        <f t="shared" ca="1" si="71"/>
        <v>0</v>
      </c>
      <c r="AK32" s="593">
        <f t="shared" ca="1" si="72"/>
        <v>0</v>
      </c>
      <c r="AM32" s="66">
        <v>10300229</v>
      </c>
      <c r="AN32" s="68" t="s">
        <v>2315</v>
      </c>
      <c r="AO32" s="764">
        <v>2.3058000000000001</v>
      </c>
      <c r="AP32" s="764">
        <v>0.6039000000000001</v>
      </c>
      <c r="AQ32" s="762">
        <v>14.457000000000001</v>
      </c>
      <c r="AR32" s="763">
        <v>35.007899999999999</v>
      </c>
      <c r="AS32" s="762">
        <v>0.06</v>
      </c>
      <c r="AT32" s="762">
        <v>0.54900000000000004</v>
      </c>
      <c r="AU32" s="762">
        <v>4822.6835460000002</v>
      </c>
      <c r="AV32" s="629">
        <v>4.199999999999991E-4</v>
      </c>
      <c r="AW32" s="629">
        <v>1.3615199999999998</v>
      </c>
      <c r="AX32" s="756" t="s">
        <v>2333</v>
      </c>
      <c r="AY32" s="781">
        <v>18.3</v>
      </c>
      <c r="AZ32" s="68"/>
      <c r="BA32" s="66"/>
      <c r="BB32" s="68"/>
      <c r="BH32" s="130"/>
      <c r="BI32" s="130"/>
      <c r="BJ32" s="130"/>
      <c r="BK32" s="130"/>
      <c r="BL32" s="130"/>
      <c r="BM32" s="130"/>
      <c r="BN32" s="130"/>
      <c r="BO32" s="130"/>
      <c r="BP32" s="130"/>
      <c r="BQ32" s="130"/>
      <c r="BR32" s="130"/>
    </row>
    <row r="33" spans="1:70" ht="18" customHeight="1" x14ac:dyDescent="0.25">
      <c r="A33" s="630">
        <f>'Table 5-A| Primary MPTE'!A65</f>
        <v>0</v>
      </c>
      <c r="B33" s="626">
        <f ca="1">'Table 5-A| Primary MPTE'!B65</f>
        <v>0</v>
      </c>
      <c r="C33" s="631">
        <f ca="1">IFERROR(IF('Table 6-A| Controls &amp; Limits'!C41="Yes",'Table 6-A| Controls &amp; Limits'!E41,'Table 6-A| Controls &amp; Limits'!D41),0)</f>
        <v>0</v>
      </c>
      <c r="D33" s="625">
        <f t="shared" ca="1" si="53"/>
        <v>0</v>
      </c>
      <c r="E33" s="1358">
        <f ca="1">LARGE(S33:S34,1)</f>
        <v>0</v>
      </c>
      <c r="F33" s="1361">
        <f t="shared" ref="F33" ca="1" si="73">LARGE(T33:T34,1)</f>
        <v>0</v>
      </c>
      <c r="G33" s="1361">
        <f t="shared" ref="G33" ca="1" si="74">LARGE(U33:U34,1)</f>
        <v>0</v>
      </c>
      <c r="H33" s="1361">
        <f t="shared" ref="H33" ca="1" si="75">LARGE(V33:V34,1)</f>
        <v>0</v>
      </c>
      <c r="I33" s="1361">
        <f t="shared" ref="I33" ca="1" si="76">LARGE(W33:W34,1)</f>
        <v>0</v>
      </c>
      <c r="J33" s="1361">
        <f t="shared" ref="J33" ca="1" si="77">LARGE(X33:X34,1)</f>
        <v>0</v>
      </c>
      <c r="K33" s="1361">
        <f t="shared" ref="K33" ca="1" si="78">LARGE(Y33:Y34,1)</f>
        <v>0</v>
      </c>
      <c r="L33" s="1361">
        <f t="shared" ref="L33" ca="1" si="79">LARGE(Z33:Z34,1)</f>
        <v>0</v>
      </c>
      <c r="M33" s="1343">
        <f t="shared" ref="M33" ca="1" si="80">LARGE(AA33:AA34,1)</f>
        <v>0</v>
      </c>
      <c r="S33" s="589">
        <f t="shared" ca="1" si="55"/>
        <v>0</v>
      </c>
      <c r="T33" s="590">
        <f t="shared" ca="1" si="56"/>
        <v>0</v>
      </c>
      <c r="U33" s="590">
        <f t="shared" ca="1" si="57"/>
        <v>0</v>
      </c>
      <c r="V33" s="585">
        <f t="shared" ca="1" si="58"/>
        <v>0</v>
      </c>
      <c r="W33" s="585">
        <f t="shared" ca="1" si="59"/>
        <v>0</v>
      </c>
      <c r="X33" s="585">
        <f t="shared" ca="1" si="60"/>
        <v>0</v>
      </c>
      <c r="Y33" s="585">
        <f t="shared" ca="1" si="61"/>
        <v>0</v>
      </c>
      <c r="Z33" s="585">
        <f t="shared" ca="1" si="62"/>
        <v>0</v>
      </c>
      <c r="AA33" s="588">
        <f t="shared" ca="1" si="63"/>
        <v>0</v>
      </c>
      <c r="AC33" s="589">
        <f t="shared" ca="1" si="64"/>
        <v>0</v>
      </c>
      <c r="AD33" s="590">
        <f t="shared" ca="1" si="65"/>
        <v>0</v>
      </c>
      <c r="AE33" s="590">
        <f t="shared" ca="1" si="66"/>
        <v>0</v>
      </c>
      <c r="AF33" s="585">
        <f t="shared" ca="1" si="67"/>
        <v>0</v>
      </c>
      <c r="AG33" s="585">
        <f t="shared" ca="1" si="68"/>
        <v>0</v>
      </c>
      <c r="AH33" s="585">
        <f t="shared" ca="1" si="69"/>
        <v>0</v>
      </c>
      <c r="AI33" s="585">
        <f t="shared" ca="1" si="70"/>
        <v>0</v>
      </c>
      <c r="AJ33" s="585">
        <f t="shared" ca="1" si="71"/>
        <v>0</v>
      </c>
      <c r="AK33" s="588">
        <f t="shared" ca="1" si="72"/>
        <v>0</v>
      </c>
      <c r="AM33" s="66">
        <v>10300401</v>
      </c>
      <c r="AN33" s="68" t="s">
        <v>2299</v>
      </c>
      <c r="AO33" s="762">
        <v>7.4676000000000009</v>
      </c>
      <c r="AP33" s="762">
        <v>5.3340000000000005</v>
      </c>
      <c r="AQ33" s="762">
        <v>46.9392</v>
      </c>
      <c r="AR33" s="762">
        <v>8.0771999999999995</v>
      </c>
      <c r="AS33" s="762">
        <v>1.6763999999999999</v>
      </c>
      <c r="AT33" s="762">
        <v>5.0292000000000003</v>
      </c>
      <c r="AU33" s="762">
        <v>25169.628096</v>
      </c>
      <c r="AV33" s="629">
        <v>6.4748201438848928E-8</v>
      </c>
      <c r="AW33" s="629">
        <v>6.0960000000000007E-2</v>
      </c>
      <c r="AX33" s="756" t="s">
        <v>1506</v>
      </c>
      <c r="AY33" s="781">
        <v>152.4</v>
      </c>
      <c r="AZ33" s="68"/>
      <c r="BA33" s="66"/>
      <c r="BB33" s="68"/>
      <c r="BH33" s="130"/>
      <c r="BI33" s="130"/>
      <c r="BJ33" s="130"/>
      <c r="BK33" s="130"/>
      <c r="BL33" s="130"/>
      <c r="BM33" s="130"/>
      <c r="BN33" s="130"/>
      <c r="BO33" s="130"/>
      <c r="BP33" s="130"/>
      <c r="BQ33" s="130"/>
      <c r="BR33" s="130"/>
    </row>
    <row r="34" spans="1:70" ht="18" customHeight="1" thickBot="1" x14ac:dyDescent="0.3">
      <c r="A34" s="309">
        <f>'Table 5-A| Primary MPTE'!A66</f>
        <v>0</v>
      </c>
      <c r="B34" s="310">
        <f ca="1">'Table 5-A| Primary MPTE'!B66</f>
        <v>0</v>
      </c>
      <c r="C34" s="312">
        <f ca="1">IFERROR(IF('Table 6-A| Controls &amp; Limits'!C42="Yes",'Table 6-A| Controls &amp; Limits'!E42,'Table 6-A| Controls &amp; Limits'!D42),0)</f>
        <v>0</v>
      </c>
      <c r="D34" s="395">
        <f t="shared" ca="1" si="53"/>
        <v>0</v>
      </c>
      <c r="E34" s="1360"/>
      <c r="F34" s="1363"/>
      <c r="G34" s="1363"/>
      <c r="H34" s="1363"/>
      <c r="I34" s="1363"/>
      <c r="J34" s="1363"/>
      <c r="K34" s="1363"/>
      <c r="L34" s="1363"/>
      <c r="M34" s="1345"/>
      <c r="S34" s="768">
        <f t="shared" ca="1" si="55"/>
        <v>0</v>
      </c>
      <c r="T34" s="769">
        <f t="shared" ca="1" si="56"/>
        <v>0</v>
      </c>
      <c r="U34" s="769">
        <f t="shared" ca="1" si="57"/>
        <v>0</v>
      </c>
      <c r="V34" s="592">
        <f t="shared" ca="1" si="58"/>
        <v>0</v>
      </c>
      <c r="W34" s="592">
        <f t="shared" ca="1" si="59"/>
        <v>0</v>
      </c>
      <c r="X34" s="592">
        <f t="shared" ca="1" si="60"/>
        <v>0</v>
      </c>
      <c r="Y34" s="592">
        <f t="shared" ca="1" si="61"/>
        <v>0</v>
      </c>
      <c r="Z34" s="592">
        <f t="shared" ca="1" si="62"/>
        <v>0</v>
      </c>
      <c r="AA34" s="593">
        <f t="shared" ca="1" si="63"/>
        <v>0</v>
      </c>
      <c r="AB34" s="547"/>
      <c r="AC34" s="768">
        <f t="shared" ca="1" si="64"/>
        <v>0</v>
      </c>
      <c r="AD34" s="769">
        <f t="shared" ca="1" si="65"/>
        <v>0</v>
      </c>
      <c r="AE34" s="769">
        <f t="shared" ca="1" si="66"/>
        <v>0</v>
      </c>
      <c r="AF34" s="592">
        <f t="shared" ca="1" si="67"/>
        <v>0</v>
      </c>
      <c r="AG34" s="592">
        <f t="shared" ca="1" si="68"/>
        <v>0</v>
      </c>
      <c r="AH34" s="592">
        <f t="shared" ca="1" si="69"/>
        <v>0</v>
      </c>
      <c r="AI34" s="592">
        <f t="shared" ca="1" si="70"/>
        <v>0</v>
      </c>
      <c r="AJ34" s="592">
        <f t="shared" ca="1" si="71"/>
        <v>0</v>
      </c>
      <c r="AK34" s="593">
        <f t="shared" ca="1" si="72"/>
        <v>0</v>
      </c>
      <c r="AM34" s="66">
        <v>10300402</v>
      </c>
      <c r="AN34" s="68" t="s">
        <v>2300</v>
      </c>
      <c r="AO34" s="762">
        <v>7.4676000000000009</v>
      </c>
      <c r="AP34" s="762">
        <v>5.3340000000000005</v>
      </c>
      <c r="AQ34" s="762">
        <v>46.9392</v>
      </c>
      <c r="AR34" s="762">
        <v>8.0771999999999995</v>
      </c>
      <c r="AS34" s="762">
        <v>1.6763999999999999</v>
      </c>
      <c r="AT34" s="762">
        <v>5.0292000000000003</v>
      </c>
      <c r="AU34" s="762">
        <v>25169.628096</v>
      </c>
      <c r="AV34" s="629">
        <v>6.4748201438848928E-8</v>
      </c>
      <c r="AW34" s="629">
        <v>6.0960000000000007E-2</v>
      </c>
      <c r="AX34" s="756" t="s">
        <v>1506</v>
      </c>
      <c r="AY34" s="781">
        <v>152.4</v>
      </c>
      <c r="AZ34" s="68"/>
      <c r="BA34" s="66"/>
      <c r="BB34" s="68"/>
      <c r="BH34" s="130"/>
      <c r="BI34" s="130"/>
      <c r="BJ34" s="130"/>
      <c r="BK34" s="130"/>
      <c r="BL34" s="130"/>
      <c r="BM34" s="130"/>
      <c r="BN34" s="130"/>
      <c r="BO34" s="130"/>
      <c r="BP34" s="130"/>
      <c r="BQ34" s="130"/>
      <c r="BR34" s="130"/>
    </row>
    <row r="35" spans="1:70" ht="18" customHeight="1" x14ac:dyDescent="0.25">
      <c r="A35" s="630">
        <f>'Table 5-A| Primary MPTE'!A67</f>
        <v>0</v>
      </c>
      <c r="B35" s="626">
        <f ca="1">'Table 5-A| Primary MPTE'!B67</f>
        <v>0</v>
      </c>
      <c r="C35" s="631">
        <f ca="1">IFERROR(IF('Table 6-A| Controls &amp; Limits'!C43="Yes",'Table 6-A| Controls &amp; Limits'!E43,'Table 6-A| Controls &amp; Limits'!D43),0)</f>
        <v>0</v>
      </c>
      <c r="D35" s="625">
        <f t="shared" ca="1" si="53"/>
        <v>0</v>
      </c>
      <c r="E35" s="1358">
        <f ca="1">LARGE(S35:S36,1)</f>
        <v>0</v>
      </c>
      <c r="F35" s="1361">
        <f t="shared" ref="F35" ca="1" si="81">LARGE(T35:T36,1)</f>
        <v>0</v>
      </c>
      <c r="G35" s="1361">
        <f t="shared" ref="G35" ca="1" si="82">LARGE(U35:U36,1)</f>
        <v>0</v>
      </c>
      <c r="H35" s="1361">
        <f t="shared" ref="H35" ca="1" si="83">LARGE(V35:V36,1)</f>
        <v>0</v>
      </c>
      <c r="I35" s="1361">
        <f t="shared" ref="I35" ca="1" si="84">LARGE(W35:W36,1)</f>
        <v>0</v>
      </c>
      <c r="J35" s="1361">
        <f t="shared" ref="J35" ca="1" si="85">LARGE(X35:X36,1)</f>
        <v>0</v>
      </c>
      <c r="K35" s="1361">
        <f t="shared" ref="K35" ca="1" si="86">LARGE(Y35:Y36,1)</f>
        <v>0</v>
      </c>
      <c r="L35" s="1361">
        <f t="shared" ref="L35" ca="1" si="87">LARGE(Z35:Z36,1)</f>
        <v>0</v>
      </c>
      <c r="M35" s="1343">
        <f t="shared" ref="M35" ca="1" si="88">LARGE(AA35:AA36,1)</f>
        <v>0</v>
      </c>
      <c r="S35" s="766">
        <f t="shared" ca="1" si="55"/>
        <v>0</v>
      </c>
      <c r="T35" s="767">
        <f t="shared" ca="1" si="56"/>
        <v>0</v>
      </c>
      <c r="U35" s="767">
        <f t="shared" ca="1" si="57"/>
        <v>0</v>
      </c>
      <c r="V35" s="584">
        <f t="shared" ca="1" si="58"/>
        <v>0</v>
      </c>
      <c r="W35" s="584">
        <f t="shared" ca="1" si="59"/>
        <v>0</v>
      </c>
      <c r="X35" s="584">
        <f t="shared" ca="1" si="60"/>
        <v>0</v>
      </c>
      <c r="Y35" s="584">
        <f t="shared" ca="1" si="61"/>
        <v>0</v>
      </c>
      <c r="Z35" s="584">
        <f t="shared" ca="1" si="62"/>
        <v>0</v>
      </c>
      <c r="AA35" s="765">
        <f t="shared" ca="1" si="63"/>
        <v>0</v>
      </c>
      <c r="AB35" s="547"/>
      <c r="AC35" s="766">
        <f t="shared" ca="1" si="64"/>
        <v>0</v>
      </c>
      <c r="AD35" s="767">
        <f t="shared" ca="1" si="65"/>
        <v>0</v>
      </c>
      <c r="AE35" s="767">
        <f t="shared" ca="1" si="66"/>
        <v>0</v>
      </c>
      <c r="AF35" s="584">
        <f t="shared" ca="1" si="67"/>
        <v>0</v>
      </c>
      <c r="AG35" s="584">
        <f t="shared" ca="1" si="68"/>
        <v>0</v>
      </c>
      <c r="AH35" s="584">
        <f t="shared" ca="1" si="69"/>
        <v>0</v>
      </c>
      <c r="AI35" s="584">
        <f t="shared" ca="1" si="70"/>
        <v>0</v>
      </c>
      <c r="AJ35" s="584">
        <f t="shared" ca="1" si="71"/>
        <v>0</v>
      </c>
      <c r="AK35" s="765">
        <f t="shared" ca="1" si="72"/>
        <v>0</v>
      </c>
      <c r="AM35" s="66">
        <v>10300403</v>
      </c>
      <c r="AN35" s="68" t="s">
        <v>2301</v>
      </c>
      <c r="AO35" s="762">
        <v>7.4676000000000009</v>
      </c>
      <c r="AP35" s="762">
        <v>5.3340000000000005</v>
      </c>
      <c r="AQ35" s="762">
        <v>46.9392</v>
      </c>
      <c r="AR35" s="762">
        <v>8.0771999999999995</v>
      </c>
      <c r="AS35" s="762">
        <v>1.6763999999999999</v>
      </c>
      <c r="AT35" s="762">
        <v>5.0292000000000003</v>
      </c>
      <c r="AU35" s="762">
        <v>25169.628096</v>
      </c>
      <c r="AV35" s="629">
        <v>6.4748201438848928E-8</v>
      </c>
      <c r="AW35" s="629">
        <v>6.0960000000000007E-2</v>
      </c>
      <c r="AX35" s="756" t="s">
        <v>1506</v>
      </c>
      <c r="AY35" s="781">
        <v>152.4</v>
      </c>
      <c r="AZ35" s="68"/>
      <c r="BA35" s="66"/>
      <c r="BB35" s="68"/>
      <c r="BH35" s="130"/>
      <c r="BI35" s="130"/>
      <c r="BJ35" s="130"/>
      <c r="BK35" s="130"/>
      <c r="BL35" s="130"/>
      <c r="BM35" s="130"/>
      <c r="BN35" s="130"/>
      <c r="BO35" s="130"/>
      <c r="BP35" s="130"/>
      <c r="BQ35" s="130"/>
      <c r="BR35" s="130"/>
    </row>
    <row r="36" spans="1:70" ht="18" customHeight="1" thickBot="1" x14ac:dyDescent="0.3">
      <c r="A36" s="302">
        <f>'Table 5-A| Primary MPTE'!A68</f>
        <v>0</v>
      </c>
      <c r="B36" s="303">
        <f ca="1">'Table 5-A| Primary MPTE'!B68</f>
        <v>0</v>
      </c>
      <c r="C36" s="305">
        <f ca="1">IFERROR(IF('Table 6-A| Controls &amp; Limits'!C44="Yes",'Table 6-A| Controls &amp; Limits'!E44,'Table 6-A| Controls &amp; Limits'!D44),0)</f>
        <v>0</v>
      </c>
      <c r="D36" s="391">
        <f t="shared" ca="1" si="53"/>
        <v>0</v>
      </c>
      <c r="E36" s="1360"/>
      <c r="F36" s="1363"/>
      <c r="G36" s="1363"/>
      <c r="H36" s="1363"/>
      <c r="I36" s="1363"/>
      <c r="J36" s="1363"/>
      <c r="K36" s="1363"/>
      <c r="L36" s="1363"/>
      <c r="M36" s="1345"/>
      <c r="S36" s="589">
        <f t="shared" ca="1" si="55"/>
        <v>0</v>
      </c>
      <c r="T36" s="590">
        <f t="shared" ca="1" si="56"/>
        <v>0</v>
      </c>
      <c r="U36" s="590">
        <f t="shared" ca="1" si="57"/>
        <v>0</v>
      </c>
      <c r="V36" s="585">
        <f t="shared" ca="1" si="58"/>
        <v>0</v>
      </c>
      <c r="W36" s="585">
        <f t="shared" ca="1" si="59"/>
        <v>0</v>
      </c>
      <c r="X36" s="585">
        <f t="shared" ca="1" si="60"/>
        <v>0</v>
      </c>
      <c r="Y36" s="585">
        <f t="shared" ca="1" si="61"/>
        <v>0</v>
      </c>
      <c r="Z36" s="585">
        <f t="shared" ca="1" si="62"/>
        <v>0</v>
      </c>
      <c r="AA36" s="588">
        <f t="shared" ca="1" si="63"/>
        <v>0</v>
      </c>
      <c r="AC36" s="589">
        <f t="shared" ca="1" si="64"/>
        <v>0</v>
      </c>
      <c r="AD36" s="590">
        <f t="shared" ca="1" si="65"/>
        <v>0</v>
      </c>
      <c r="AE36" s="590">
        <f t="shared" ca="1" si="66"/>
        <v>0</v>
      </c>
      <c r="AF36" s="585">
        <f t="shared" ca="1" si="67"/>
        <v>0</v>
      </c>
      <c r="AG36" s="585">
        <f t="shared" ca="1" si="68"/>
        <v>0</v>
      </c>
      <c r="AH36" s="585">
        <f t="shared" ca="1" si="69"/>
        <v>0</v>
      </c>
      <c r="AI36" s="585">
        <f t="shared" ca="1" si="70"/>
        <v>0</v>
      </c>
      <c r="AJ36" s="585">
        <f t="shared" ca="1" si="71"/>
        <v>0</v>
      </c>
      <c r="AK36" s="588">
        <f t="shared" ca="1" si="72"/>
        <v>0</v>
      </c>
      <c r="AM36" s="66">
        <v>10300501</v>
      </c>
      <c r="AN36" s="68" t="s">
        <v>2305</v>
      </c>
      <c r="AO36" s="762">
        <v>2.363</v>
      </c>
      <c r="AP36" s="762">
        <v>1.5289999999999999</v>
      </c>
      <c r="AQ36" s="762">
        <v>24.046999999999997</v>
      </c>
      <c r="AR36" s="762">
        <v>7.367</v>
      </c>
      <c r="AS36" s="762">
        <v>0.25158999999999998</v>
      </c>
      <c r="AT36" s="762">
        <v>5.0039999999999996</v>
      </c>
      <c r="AU36" s="762">
        <v>25001.839650000005</v>
      </c>
      <c r="AV36" s="629">
        <v>6.4748201438848928E-8</v>
      </c>
      <c r="AW36" s="629">
        <v>6.4356999999999998E-2</v>
      </c>
      <c r="AX36" s="756" t="s">
        <v>1506</v>
      </c>
      <c r="AY36" s="781">
        <v>139</v>
      </c>
      <c r="AZ36" s="68"/>
      <c r="BA36" s="66"/>
      <c r="BB36" s="68"/>
      <c r="BH36" s="130"/>
      <c r="BI36" s="130"/>
      <c r="BJ36" s="130"/>
      <c r="BK36" s="130"/>
      <c r="BL36" s="130"/>
      <c r="BM36" s="130"/>
      <c r="BN36" s="130"/>
      <c r="BO36" s="130"/>
      <c r="BP36" s="130"/>
      <c r="BQ36" s="130"/>
      <c r="BR36" s="130"/>
    </row>
    <row r="37" spans="1:70" ht="18" customHeight="1" x14ac:dyDescent="0.25">
      <c r="A37" s="1446" t="str">
        <f>'Table 5-A| Primary MPTE'!A69</f>
        <v>Stationary Engine Emission Units</v>
      </c>
      <c r="B37" s="1447" t="str">
        <f>'Table 5-A| Primary MPTE'!B69</f>
        <v>-</v>
      </c>
      <c r="C37" s="1447" t="str">
        <f>'Table 5-A| Primary MPTE'!C69</f>
        <v>-</v>
      </c>
      <c r="D37" s="1447" t="str">
        <f>'Table 5-A| Primary MPTE'!D69</f>
        <v>-</v>
      </c>
      <c r="E37" s="1447" t="str">
        <f>'Table 5-A| Primary MPTE'!E69</f>
        <v>-</v>
      </c>
      <c r="F37" s="1447" t="str">
        <f>'Table 5-A| Primary MPTE'!F69</f>
        <v>-</v>
      </c>
      <c r="G37" s="1447" t="str">
        <f>'Table 5-A| Primary MPTE'!G69</f>
        <v>-</v>
      </c>
      <c r="H37" s="1447" t="str">
        <f>'Table 5-A| Primary MPTE'!H69</f>
        <v>-</v>
      </c>
      <c r="I37" s="1447" t="str">
        <f>'Table 5-A| Primary MPTE'!I69</f>
        <v>-</v>
      </c>
      <c r="J37" s="1447" t="str">
        <f>'Table 5-A| Primary MPTE'!J69</f>
        <v>-</v>
      </c>
      <c r="K37" s="1447" t="str">
        <f>'Table 5-A| Primary MPTE'!K69</f>
        <v>-</v>
      </c>
      <c r="L37" s="1447" t="str">
        <f>'Table 5-A| Primary MPTE'!L69</f>
        <v>-</v>
      </c>
      <c r="M37" s="1448" t="str">
        <f>'Table 5-A| Primary MPTE'!M69</f>
        <v>-</v>
      </c>
      <c r="S37" s="1338"/>
      <c r="T37" s="1339"/>
      <c r="U37" s="1339"/>
      <c r="V37" s="1339"/>
      <c r="W37" s="1339"/>
      <c r="X37" s="1339"/>
      <c r="Y37" s="1339"/>
      <c r="Z37" s="1339"/>
      <c r="AA37" s="1340"/>
      <c r="AC37" s="1338"/>
      <c r="AD37" s="1339"/>
      <c r="AE37" s="1339"/>
      <c r="AF37" s="1339"/>
      <c r="AG37" s="1339"/>
      <c r="AH37" s="1339"/>
      <c r="AI37" s="1339"/>
      <c r="AJ37" s="1339"/>
      <c r="AK37" s="1340"/>
      <c r="AM37" s="66">
        <v>10300502</v>
      </c>
      <c r="AN37" s="68" t="s">
        <v>2306</v>
      </c>
      <c r="AO37" s="762">
        <v>2.363</v>
      </c>
      <c r="AP37" s="762">
        <v>1.5289999999999999</v>
      </c>
      <c r="AQ37" s="762">
        <v>20.015999999999998</v>
      </c>
      <c r="AR37" s="762">
        <v>7.2279999999999998</v>
      </c>
      <c r="AS37" s="762">
        <v>0.25158999999999998</v>
      </c>
      <c r="AT37" s="762">
        <v>5.0039999999999996</v>
      </c>
      <c r="AU37" s="762">
        <v>25001.839650000005</v>
      </c>
      <c r="AV37" s="629">
        <v>6.4748201438848928E-8</v>
      </c>
      <c r="AW37" s="629">
        <v>6.4356999999999998E-2</v>
      </c>
      <c r="AX37" s="756" t="s">
        <v>1506</v>
      </c>
      <c r="AY37" s="781">
        <v>139</v>
      </c>
      <c r="AZ37" s="68"/>
      <c r="BA37" s="66"/>
      <c r="BB37" s="68"/>
      <c r="BH37" s="130"/>
      <c r="BI37" s="130"/>
      <c r="BJ37" s="130"/>
      <c r="BK37" s="130"/>
      <c r="BL37" s="130"/>
      <c r="BM37" s="130"/>
      <c r="BN37" s="130"/>
      <c r="BO37" s="130"/>
      <c r="BP37" s="130"/>
      <c r="BQ37" s="130"/>
      <c r="BR37" s="130"/>
    </row>
    <row r="38" spans="1:70" ht="18" customHeight="1" x14ac:dyDescent="0.25">
      <c r="A38" s="302">
        <f>'Table 5-A| Primary MPTE'!A70</f>
        <v>0</v>
      </c>
      <c r="B38" s="303">
        <f ca="1">'Table 5-A| Primary MPTE'!B70</f>
        <v>0</v>
      </c>
      <c r="C38" s="305">
        <f>IFERROR(IF('Table 6-A| Controls &amp; Limits'!C46="Yes",'Table 6-A| Controls &amp; Limits'!E46,'Table 6-A| Controls &amp; Limits'!D46),0)</f>
        <v>0</v>
      </c>
      <c r="D38" s="391">
        <f ca="1">IFERROR(VLOOKUP($B38,$AM$12:$AX$75,12,FALSE),0)</f>
        <v>0</v>
      </c>
      <c r="E38" s="392">
        <f ca="1">S38</f>
        <v>0</v>
      </c>
      <c r="F38" s="393">
        <f t="shared" ref="F38:F42" ca="1" si="89">T38</f>
        <v>0</v>
      </c>
      <c r="G38" s="393">
        <f t="shared" ref="G38:G42" ca="1" si="90">U38</f>
        <v>0</v>
      </c>
      <c r="H38" s="393">
        <f t="shared" ref="H38:H42" ca="1" si="91">V38</f>
        <v>0</v>
      </c>
      <c r="I38" s="393">
        <f t="shared" ref="I38:I42" ca="1" si="92">W38</f>
        <v>0</v>
      </c>
      <c r="J38" s="393">
        <f t="shared" ref="J38:J42" ca="1" si="93">X38</f>
        <v>0</v>
      </c>
      <c r="K38" s="393">
        <f t="shared" ref="K38:K42" ca="1" si="94">Y38</f>
        <v>0</v>
      </c>
      <c r="L38" s="393">
        <f t="shared" ref="L38:L42" ca="1" si="95">Z38</f>
        <v>0</v>
      </c>
      <c r="M38" s="394">
        <f t="shared" ref="M38:M42" ca="1" si="96">AA38</f>
        <v>0</v>
      </c>
      <c r="S38" s="589">
        <f t="shared" ref="S38:S42" ca="1" si="97">IFERROR($C38*AC38,0)</f>
        <v>0</v>
      </c>
      <c r="T38" s="590">
        <f t="shared" ref="T38:T42" ca="1" si="98">IFERROR($C38*AD38,0)</f>
        <v>0</v>
      </c>
      <c r="U38" s="590">
        <f t="shared" ref="U38:U42" ca="1" si="99">IFERROR($C38*AE38,0)</f>
        <v>0</v>
      </c>
      <c r="V38" s="585">
        <f t="shared" ref="V38:V42" ca="1" si="100">IFERROR($C38*AF38,0)</f>
        <v>0</v>
      </c>
      <c r="W38" s="585">
        <f t="shared" ref="W38:W42" ca="1" si="101">IFERROR($C38*AG38,0)</f>
        <v>0</v>
      </c>
      <c r="X38" s="585">
        <f t="shared" ref="X38:X42" ca="1" si="102">IFERROR($C38*AH38,0)</f>
        <v>0</v>
      </c>
      <c r="Y38" s="585">
        <f t="shared" ref="Y38:Y42" ca="1" si="103">IFERROR($C38*AI38,0)</f>
        <v>0</v>
      </c>
      <c r="Z38" s="585">
        <f t="shared" ref="Z38:Z42" ca="1" si="104">IFERROR($C38*AJ38,0)</f>
        <v>0</v>
      </c>
      <c r="AA38" s="588">
        <f t="shared" ref="AA38:AA42" ca="1" si="105">IFERROR($C38*AK38,0)</f>
        <v>0</v>
      </c>
      <c r="AC38" s="589">
        <f t="shared" ref="AC38:AC42" ca="1" si="106">IFERROR(VLOOKUP($B38,$AM$12:$AX$75,3,FALSE),0)</f>
        <v>0</v>
      </c>
      <c r="AD38" s="590">
        <f t="shared" ref="AD38:AD42" ca="1" si="107">IFERROR(VLOOKUP($B38,$AM$12:$AX$75,4,FALSE),0)</f>
        <v>0</v>
      </c>
      <c r="AE38" s="590">
        <f t="shared" ref="AE38:AE42" ca="1" si="108">IFERROR(VLOOKUP($B38,$AM$12:$AX$75,5,FALSE),0)</f>
        <v>0</v>
      </c>
      <c r="AF38" s="585">
        <f t="shared" ref="AF38:AF42" ca="1" si="109">IFERROR(VLOOKUP($B38,$AM$12:$AX$75,6,FALSE),0)</f>
        <v>0</v>
      </c>
      <c r="AG38" s="585">
        <f t="shared" ref="AG38:AG42" ca="1" si="110">IFERROR(VLOOKUP($B38,$AM$12:$AX$75,7,FALSE),0)</f>
        <v>0</v>
      </c>
      <c r="AH38" s="585">
        <f t="shared" ref="AH38:AH42" ca="1" si="111">IFERROR(VLOOKUP($B38,$AM$12:$AX$75,8,FALSE),0)</f>
        <v>0</v>
      </c>
      <c r="AI38" s="585">
        <f t="shared" ref="AI38:AI42" ca="1" si="112">IFERROR(VLOOKUP($B38,$AM$12:$AX$75,9,FALSE),0)</f>
        <v>0</v>
      </c>
      <c r="AJ38" s="585">
        <f t="shared" ref="AJ38:AJ42" ca="1" si="113">IFERROR(VLOOKUP($B38,$AM$12:$AX$75,10,FALSE),0)</f>
        <v>0</v>
      </c>
      <c r="AK38" s="588">
        <f t="shared" ref="AK38:AK42" ca="1" si="114">IFERROR(VLOOKUP($B38,$AM$12:$AX$75,11,FALSE),0)</f>
        <v>0</v>
      </c>
      <c r="AM38" s="66">
        <v>10300503</v>
      </c>
      <c r="AN38" s="68" t="s">
        <v>2307</v>
      </c>
      <c r="AO38" s="762">
        <v>2.363</v>
      </c>
      <c r="AP38" s="762">
        <v>1.5289999999999999</v>
      </c>
      <c r="AQ38" s="762">
        <v>20.015999999999998</v>
      </c>
      <c r="AR38" s="762">
        <v>7.2279999999999998</v>
      </c>
      <c r="AS38" s="762">
        <v>0.25158999999999998</v>
      </c>
      <c r="AT38" s="762">
        <v>5.0039999999999996</v>
      </c>
      <c r="AU38" s="762">
        <v>25001.839650000005</v>
      </c>
      <c r="AV38" s="629">
        <v>6.4748201438848928E-8</v>
      </c>
      <c r="AW38" s="629">
        <v>6.4356999999999998E-2</v>
      </c>
      <c r="AX38" s="756" t="s">
        <v>1506</v>
      </c>
      <c r="AY38" s="781">
        <v>139</v>
      </c>
      <c r="AZ38" s="68"/>
      <c r="BA38" s="66"/>
      <c r="BB38" s="68"/>
      <c r="BH38" s="130"/>
      <c r="BI38" s="130"/>
      <c r="BJ38" s="130"/>
      <c r="BK38" s="130"/>
      <c r="BL38" s="130"/>
      <c r="BM38" s="130"/>
      <c r="BN38" s="130"/>
      <c r="BO38" s="130"/>
      <c r="BP38" s="130"/>
      <c r="BQ38" s="130"/>
      <c r="BR38" s="130"/>
    </row>
    <row r="39" spans="1:70" ht="18" customHeight="1" x14ac:dyDescent="0.25">
      <c r="A39" s="302">
        <f>'Table 5-A| Primary MPTE'!A71</f>
        <v>0</v>
      </c>
      <c r="B39" s="303">
        <f ca="1">'Table 5-A| Primary MPTE'!B71</f>
        <v>0</v>
      </c>
      <c r="C39" s="305">
        <f>IFERROR(IF('Table 6-A| Controls &amp; Limits'!C47="Yes",'Table 6-A| Controls &amp; Limits'!E47,'Table 6-A| Controls &amp; Limits'!D47),0)</f>
        <v>0</v>
      </c>
      <c r="D39" s="391">
        <f ca="1">IFERROR(VLOOKUP($B39,$AM$12:$AX$75,12,FALSE),0)</f>
        <v>0</v>
      </c>
      <c r="E39" s="392">
        <f t="shared" ref="E39:E42" ca="1" si="115">S39</f>
        <v>0</v>
      </c>
      <c r="F39" s="393">
        <f t="shared" ca="1" si="89"/>
        <v>0</v>
      </c>
      <c r="G39" s="393">
        <f t="shared" ca="1" si="90"/>
        <v>0</v>
      </c>
      <c r="H39" s="393">
        <f t="shared" ca="1" si="91"/>
        <v>0</v>
      </c>
      <c r="I39" s="393">
        <f t="shared" ca="1" si="92"/>
        <v>0</v>
      </c>
      <c r="J39" s="393">
        <f t="shared" ca="1" si="93"/>
        <v>0</v>
      </c>
      <c r="K39" s="393">
        <f t="shared" ca="1" si="94"/>
        <v>0</v>
      </c>
      <c r="L39" s="393">
        <f t="shared" ca="1" si="95"/>
        <v>0</v>
      </c>
      <c r="M39" s="394">
        <f t="shared" ca="1" si="96"/>
        <v>0</v>
      </c>
      <c r="S39" s="589">
        <f t="shared" ca="1" si="97"/>
        <v>0</v>
      </c>
      <c r="T39" s="590">
        <f t="shared" ca="1" si="98"/>
        <v>0</v>
      </c>
      <c r="U39" s="590">
        <f t="shared" ca="1" si="99"/>
        <v>0</v>
      </c>
      <c r="V39" s="585">
        <f t="shared" ca="1" si="100"/>
        <v>0</v>
      </c>
      <c r="W39" s="585">
        <f t="shared" ca="1" si="101"/>
        <v>0</v>
      </c>
      <c r="X39" s="585">
        <f t="shared" ca="1" si="102"/>
        <v>0</v>
      </c>
      <c r="Y39" s="585">
        <f t="shared" ca="1" si="103"/>
        <v>0</v>
      </c>
      <c r="Z39" s="585">
        <f t="shared" ca="1" si="104"/>
        <v>0</v>
      </c>
      <c r="AA39" s="588">
        <f t="shared" ca="1" si="105"/>
        <v>0</v>
      </c>
      <c r="AC39" s="589">
        <f t="shared" ca="1" si="106"/>
        <v>0</v>
      </c>
      <c r="AD39" s="590">
        <f t="shared" ca="1" si="107"/>
        <v>0</v>
      </c>
      <c r="AE39" s="590">
        <f t="shared" ca="1" si="108"/>
        <v>0</v>
      </c>
      <c r="AF39" s="585">
        <f t="shared" ca="1" si="109"/>
        <v>0</v>
      </c>
      <c r="AG39" s="585">
        <f t="shared" ca="1" si="110"/>
        <v>0</v>
      </c>
      <c r="AH39" s="585">
        <f t="shared" ca="1" si="111"/>
        <v>0</v>
      </c>
      <c r="AI39" s="585">
        <f t="shared" ca="1" si="112"/>
        <v>0</v>
      </c>
      <c r="AJ39" s="585">
        <f t="shared" ca="1" si="113"/>
        <v>0</v>
      </c>
      <c r="AK39" s="588">
        <f t="shared" ca="1" si="114"/>
        <v>0</v>
      </c>
      <c r="AM39" s="66">
        <v>10300504</v>
      </c>
      <c r="AN39" s="68" t="s">
        <v>2321</v>
      </c>
      <c r="AO39" s="762">
        <v>7.54</v>
      </c>
      <c r="AP39" s="762">
        <v>5.3649999999999993</v>
      </c>
      <c r="AQ39" s="762">
        <v>46.980000000000004</v>
      </c>
      <c r="AR39" s="762">
        <v>7.83</v>
      </c>
      <c r="AS39" s="762">
        <v>0.25230000000000002</v>
      </c>
      <c r="AT39" s="762">
        <v>4.9300000000000006</v>
      </c>
      <c r="AU39" s="762">
        <v>25001.331374999998</v>
      </c>
      <c r="AV39" s="629">
        <v>6.4748201438848928E-8</v>
      </c>
      <c r="AW39" s="629">
        <v>6.1044999999999995E-2</v>
      </c>
      <c r="AX39" s="756" t="s">
        <v>1506</v>
      </c>
      <c r="AY39" s="781">
        <v>145</v>
      </c>
      <c r="AZ39" s="68"/>
      <c r="BA39" s="66"/>
      <c r="BB39" s="68"/>
      <c r="BH39" s="130"/>
      <c r="BI39" s="130"/>
      <c r="BJ39" s="130"/>
      <c r="BK39" s="130"/>
      <c r="BL39" s="130"/>
      <c r="BM39" s="130"/>
      <c r="BN39" s="130"/>
      <c r="BO39" s="130"/>
      <c r="BP39" s="130"/>
      <c r="BQ39" s="130"/>
      <c r="BR39" s="130"/>
    </row>
    <row r="40" spans="1:70" ht="18" customHeight="1" x14ac:dyDescent="0.25">
      <c r="A40" s="630">
        <f>'Table 5-A| Primary MPTE'!A72</f>
        <v>0</v>
      </c>
      <c r="B40" s="626">
        <f ca="1">'Table 5-A| Primary MPTE'!B72</f>
        <v>0</v>
      </c>
      <c r="C40" s="631">
        <f>IFERROR(IF('Table 6-A| Controls &amp; Limits'!C48="Yes",'Table 6-A| Controls &amp; Limits'!E48,'Table 6-A| Controls &amp; Limits'!D48),0)</f>
        <v>0</v>
      </c>
      <c r="D40" s="625">
        <f ca="1">IFERROR(VLOOKUP($B40,$AM$12:$AX$75,12,FALSE),0)</f>
        <v>0</v>
      </c>
      <c r="E40" s="632">
        <f t="shared" ca="1" si="115"/>
        <v>0</v>
      </c>
      <c r="F40" s="633">
        <f t="shared" ca="1" si="89"/>
        <v>0</v>
      </c>
      <c r="G40" s="633">
        <f t="shared" ca="1" si="90"/>
        <v>0</v>
      </c>
      <c r="H40" s="633">
        <f t="shared" ca="1" si="91"/>
        <v>0</v>
      </c>
      <c r="I40" s="633">
        <f t="shared" ca="1" si="92"/>
        <v>0</v>
      </c>
      <c r="J40" s="633">
        <f t="shared" ca="1" si="93"/>
        <v>0</v>
      </c>
      <c r="K40" s="633">
        <f t="shared" ca="1" si="94"/>
        <v>0</v>
      </c>
      <c r="L40" s="633">
        <f t="shared" ca="1" si="95"/>
        <v>0</v>
      </c>
      <c r="M40" s="634">
        <f t="shared" ca="1" si="96"/>
        <v>0</v>
      </c>
      <c r="S40" s="589">
        <f t="shared" ca="1" si="97"/>
        <v>0</v>
      </c>
      <c r="T40" s="590">
        <f t="shared" ca="1" si="98"/>
        <v>0</v>
      </c>
      <c r="U40" s="590">
        <f t="shared" ca="1" si="99"/>
        <v>0</v>
      </c>
      <c r="V40" s="585">
        <f t="shared" ca="1" si="100"/>
        <v>0</v>
      </c>
      <c r="W40" s="585">
        <f t="shared" ca="1" si="101"/>
        <v>0</v>
      </c>
      <c r="X40" s="585">
        <f t="shared" ca="1" si="102"/>
        <v>0</v>
      </c>
      <c r="Y40" s="585">
        <f t="shared" ca="1" si="103"/>
        <v>0</v>
      </c>
      <c r="Z40" s="585">
        <f t="shared" ca="1" si="104"/>
        <v>0</v>
      </c>
      <c r="AA40" s="588">
        <f t="shared" ca="1" si="105"/>
        <v>0</v>
      </c>
      <c r="AC40" s="589">
        <f t="shared" ca="1" si="106"/>
        <v>0</v>
      </c>
      <c r="AD40" s="590">
        <f t="shared" ca="1" si="107"/>
        <v>0</v>
      </c>
      <c r="AE40" s="590">
        <f t="shared" ca="1" si="108"/>
        <v>0</v>
      </c>
      <c r="AF40" s="585">
        <f t="shared" ca="1" si="109"/>
        <v>0</v>
      </c>
      <c r="AG40" s="585">
        <f t="shared" ca="1" si="110"/>
        <v>0</v>
      </c>
      <c r="AH40" s="585">
        <f t="shared" ca="1" si="111"/>
        <v>0</v>
      </c>
      <c r="AI40" s="585">
        <f t="shared" ca="1" si="112"/>
        <v>0</v>
      </c>
      <c r="AJ40" s="585">
        <f t="shared" ca="1" si="113"/>
        <v>0</v>
      </c>
      <c r="AK40" s="588">
        <f t="shared" ca="1" si="114"/>
        <v>0</v>
      </c>
      <c r="AM40" s="66">
        <v>10300505</v>
      </c>
      <c r="AN40" s="68" t="s">
        <v>2310</v>
      </c>
      <c r="AO40" s="762">
        <v>2.363</v>
      </c>
      <c r="AP40" s="762">
        <v>1.5289999999999999</v>
      </c>
      <c r="AQ40" s="762">
        <v>20.015999999999998</v>
      </c>
      <c r="AR40" s="762">
        <v>7.2279999999999998</v>
      </c>
      <c r="AS40" s="762">
        <v>0.20016</v>
      </c>
      <c r="AT40" s="762">
        <v>5.0039999999999996</v>
      </c>
      <c r="AU40" s="762">
        <v>25001.839650000005</v>
      </c>
      <c r="AV40" s="629">
        <v>6.4748201438848928E-8</v>
      </c>
      <c r="AW40" s="629">
        <v>6.1020999999999999E-2</v>
      </c>
      <c r="AX40" s="756" t="s">
        <v>1506</v>
      </c>
      <c r="AY40" s="781">
        <v>139</v>
      </c>
      <c r="AZ40" s="68"/>
      <c r="BA40" s="66"/>
      <c r="BB40" s="68"/>
      <c r="BH40" s="130"/>
      <c r="BI40" s="130"/>
      <c r="BJ40" s="130"/>
      <c r="BK40" s="130"/>
      <c r="BL40" s="130"/>
      <c r="BM40" s="130"/>
      <c r="BN40" s="130"/>
      <c r="BO40" s="130"/>
      <c r="BP40" s="130"/>
      <c r="BQ40" s="130"/>
      <c r="BR40" s="130"/>
    </row>
    <row r="41" spans="1:70" ht="18" customHeight="1" x14ac:dyDescent="0.25">
      <c r="A41" s="302">
        <f>'Table 5-A| Primary MPTE'!A73</f>
        <v>0</v>
      </c>
      <c r="B41" s="303">
        <f ca="1">'Table 5-A| Primary MPTE'!B73</f>
        <v>0</v>
      </c>
      <c r="C41" s="305">
        <f>IFERROR(IF('Table 6-A| Controls &amp; Limits'!C49="Yes",'Table 6-A| Controls &amp; Limits'!E49,'Table 6-A| Controls &amp; Limits'!D49),0)</f>
        <v>0</v>
      </c>
      <c r="D41" s="391">
        <f ca="1">IFERROR(VLOOKUP($B41,$AM$12:$AX$75,12,FALSE),0)</f>
        <v>0</v>
      </c>
      <c r="E41" s="392">
        <f t="shared" ca="1" si="115"/>
        <v>0</v>
      </c>
      <c r="F41" s="393">
        <f t="shared" ca="1" si="89"/>
        <v>0</v>
      </c>
      <c r="G41" s="393">
        <f t="shared" ca="1" si="90"/>
        <v>0</v>
      </c>
      <c r="H41" s="393">
        <f t="shared" ca="1" si="91"/>
        <v>0</v>
      </c>
      <c r="I41" s="393">
        <f t="shared" ca="1" si="92"/>
        <v>0</v>
      </c>
      <c r="J41" s="393">
        <f t="shared" ca="1" si="93"/>
        <v>0</v>
      </c>
      <c r="K41" s="393">
        <f t="shared" ca="1" si="94"/>
        <v>0</v>
      </c>
      <c r="L41" s="393">
        <f t="shared" ca="1" si="95"/>
        <v>0</v>
      </c>
      <c r="M41" s="394">
        <f t="shared" ca="1" si="96"/>
        <v>0</v>
      </c>
      <c r="S41" s="589">
        <f t="shared" ca="1" si="97"/>
        <v>0</v>
      </c>
      <c r="T41" s="590">
        <f t="shared" ca="1" si="98"/>
        <v>0</v>
      </c>
      <c r="U41" s="590">
        <f t="shared" ca="1" si="99"/>
        <v>0</v>
      </c>
      <c r="V41" s="585">
        <f t="shared" ca="1" si="100"/>
        <v>0</v>
      </c>
      <c r="W41" s="585">
        <f t="shared" ca="1" si="101"/>
        <v>0</v>
      </c>
      <c r="X41" s="585">
        <f t="shared" ca="1" si="102"/>
        <v>0</v>
      </c>
      <c r="Y41" s="585">
        <f t="shared" ca="1" si="103"/>
        <v>0</v>
      </c>
      <c r="Z41" s="585">
        <f t="shared" ca="1" si="104"/>
        <v>0</v>
      </c>
      <c r="AA41" s="588">
        <f t="shared" ca="1" si="105"/>
        <v>0</v>
      </c>
      <c r="AC41" s="589">
        <f t="shared" ca="1" si="106"/>
        <v>0</v>
      </c>
      <c r="AD41" s="590">
        <f t="shared" ca="1" si="107"/>
        <v>0</v>
      </c>
      <c r="AE41" s="590">
        <f t="shared" ca="1" si="108"/>
        <v>0</v>
      </c>
      <c r="AF41" s="585">
        <f t="shared" ca="1" si="109"/>
        <v>0</v>
      </c>
      <c r="AG41" s="585">
        <f t="shared" ca="1" si="110"/>
        <v>0</v>
      </c>
      <c r="AH41" s="585">
        <f t="shared" ca="1" si="111"/>
        <v>0</v>
      </c>
      <c r="AI41" s="585">
        <f t="shared" ca="1" si="112"/>
        <v>0</v>
      </c>
      <c r="AJ41" s="585">
        <f t="shared" ca="1" si="113"/>
        <v>0</v>
      </c>
      <c r="AK41" s="588">
        <f t="shared" ca="1" si="114"/>
        <v>0</v>
      </c>
      <c r="AM41" s="66">
        <v>10300601</v>
      </c>
      <c r="AN41" s="68" t="s">
        <v>2293</v>
      </c>
      <c r="AO41" s="762">
        <v>7.5990000000000002</v>
      </c>
      <c r="AP41" s="762">
        <v>7.5990000000000002</v>
      </c>
      <c r="AQ41" s="762">
        <v>139.74</v>
      </c>
      <c r="AR41" s="762">
        <v>0.59975999999999996</v>
      </c>
      <c r="AS41" s="762">
        <v>5.4977999999999998</v>
      </c>
      <c r="AT41" s="762">
        <v>83.64</v>
      </c>
      <c r="AU41" s="762">
        <v>120713.86860000002</v>
      </c>
      <c r="AV41" s="629">
        <v>5.0000000000000001E-4</v>
      </c>
      <c r="AW41" s="629">
        <v>1.887</v>
      </c>
      <c r="AX41" s="756" t="s">
        <v>1505</v>
      </c>
      <c r="AY41" s="781">
        <v>1020</v>
      </c>
      <c r="AZ41" s="68"/>
      <c r="BA41" s="66"/>
      <c r="BB41" s="68"/>
      <c r="BH41" s="130"/>
      <c r="BI41" s="130"/>
      <c r="BJ41" s="130"/>
      <c r="BK41" s="130"/>
      <c r="BL41" s="130"/>
      <c r="BM41" s="130"/>
      <c r="BN41" s="130"/>
      <c r="BO41" s="130"/>
      <c r="BP41" s="130"/>
      <c r="BQ41" s="130"/>
      <c r="BR41" s="130"/>
    </row>
    <row r="42" spans="1:70" ht="18" customHeight="1" thickBot="1" x14ac:dyDescent="0.3">
      <c r="A42" s="302">
        <f>'Table 5-A| Primary MPTE'!A74</f>
        <v>0</v>
      </c>
      <c r="B42" s="303">
        <f ca="1">'Table 5-A| Primary MPTE'!B74</f>
        <v>0</v>
      </c>
      <c r="C42" s="305">
        <f>IFERROR(IF('Table 6-A| Controls &amp; Limits'!C50="Yes",'Table 6-A| Controls &amp; Limits'!E50,'Table 6-A| Controls &amp; Limits'!D50),0)</f>
        <v>0</v>
      </c>
      <c r="D42" s="391">
        <f ca="1">IFERROR(VLOOKUP($B42,$AM$12:$AX$75,12,FALSE),0)</f>
        <v>0</v>
      </c>
      <c r="E42" s="392">
        <f t="shared" ca="1" si="115"/>
        <v>0</v>
      </c>
      <c r="F42" s="393">
        <f t="shared" ca="1" si="89"/>
        <v>0</v>
      </c>
      <c r="G42" s="393">
        <f t="shared" ca="1" si="90"/>
        <v>0</v>
      </c>
      <c r="H42" s="393">
        <f t="shared" ca="1" si="91"/>
        <v>0</v>
      </c>
      <c r="I42" s="393">
        <f t="shared" ca="1" si="92"/>
        <v>0</v>
      </c>
      <c r="J42" s="393">
        <f t="shared" ca="1" si="93"/>
        <v>0</v>
      </c>
      <c r="K42" s="393">
        <f t="shared" ca="1" si="94"/>
        <v>0</v>
      </c>
      <c r="L42" s="393">
        <f t="shared" ca="1" si="95"/>
        <v>0</v>
      </c>
      <c r="M42" s="394">
        <f t="shared" ca="1" si="96"/>
        <v>0</v>
      </c>
      <c r="S42" s="589">
        <f t="shared" ca="1" si="97"/>
        <v>0</v>
      </c>
      <c r="T42" s="590">
        <f t="shared" ca="1" si="98"/>
        <v>0</v>
      </c>
      <c r="U42" s="590">
        <f t="shared" ca="1" si="99"/>
        <v>0</v>
      </c>
      <c r="V42" s="585">
        <f t="shared" ca="1" si="100"/>
        <v>0</v>
      </c>
      <c r="W42" s="585">
        <f t="shared" ca="1" si="101"/>
        <v>0</v>
      </c>
      <c r="X42" s="585">
        <f t="shared" ca="1" si="102"/>
        <v>0</v>
      </c>
      <c r="Y42" s="585">
        <f t="shared" ca="1" si="103"/>
        <v>0</v>
      </c>
      <c r="Z42" s="585">
        <f t="shared" ca="1" si="104"/>
        <v>0</v>
      </c>
      <c r="AA42" s="588">
        <f t="shared" ca="1" si="105"/>
        <v>0</v>
      </c>
      <c r="AC42" s="589">
        <f t="shared" ca="1" si="106"/>
        <v>0</v>
      </c>
      <c r="AD42" s="590">
        <f t="shared" ca="1" si="107"/>
        <v>0</v>
      </c>
      <c r="AE42" s="590">
        <f t="shared" ca="1" si="108"/>
        <v>0</v>
      </c>
      <c r="AF42" s="585">
        <f t="shared" ca="1" si="109"/>
        <v>0</v>
      </c>
      <c r="AG42" s="585">
        <f t="shared" ca="1" si="110"/>
        <v>0</v>
      </c>
      <c r="AH42" s="585">
        <f t="shared" ca="1" si="111"/>
        <v>0</v>
      </c>
      <c r="AI42" s="585">
        <f t="shared" ca="1" si="112"/>
        <v>0</v>
      </c>
      <c r="AJ42" s="585">
        <f t="shared" ca="1" si="113"/>
        <v>0</v>
      </c>
      <c r="AK42" s="588">
        <f t="shared" ca="1" si="114"/>
        <v>0</v>
      </c>
      <c r="AM42" s="66">
        <v>10300602</v>
      </c>
      <c r="AN42" s="68" t="s">
        <v>2294</v>
      </c>
      <c r="AO42" s="762">
        <v>7.5990000000000002</v>
      </c>
      <c r="AP42" s="762">
        <v>7.5990000000000002</v>
      </c>
      <c r="AQ42" s="762">
        <v>99.960000000000008</v>
      </c>
      <c r="AR42" s="762">
        <v>0.59975999999999996</v>
      </c>
      <c r="AS42" s="762">
        <v>5.4977999999999998</v>
      </c>
      <c r="AT42" s="762">
        <v>83.64</v>
      </c>
      <c r="AU42" s="762">
        <v>120713.86860000002</v>
      </c>
      <c r="AV42" s="629">
        <v>5.0000000000000001E-4</v>
      </c>
      <c r="AW42" s="629">
        <v>1.887</v>
      </c>
      <c r="AX42" s="756" t="s">
        <v>1505</v>
      </c>
      <c r="AY42" s="781">
        <v>1020</v>
      </c>
      <c r="AZ42" s="68"/>
      <c r="BA42" s="66"/>
      <c r="BB42" s="68"/>
      <c r="BH42" s="130"/>
      <c r="BI42" s="130"/>
      <c r="BJ42" s="130"/>
      <c r="BK42" s="130"/>
      <c r="BL42" s="130"/>
      <c r="BM42" s="130"/>
      <c r="BN42" s="130"/>
      <c r="BO42" s="130"/>
      <c r="BP42" s="130"/>
      <c r="BQ42" s="130"/>
      <c r="BR42" s="130"/>
    </row>
    <row r="43" spans="1:70" ht="18" customHeight="1" thickBot="1" x14ac:dyDescent="0.3">
      <c r="A43" s="1446" t="str">
        <f>'Table 5-A| Primary MPTE'!A75</f>
        <v>Miscellaneous Emission Units</v>
      </c>
      <c r="B43" s="1447" t="str">
        <f>'Table 5-A| Primary MPTE'!B75</f>
        <v>-</v>
      </c>
      <c r="C43" s="1447" t="str">
        <f>'Table 5-A| Primary MPTE'!C75</f>
        <v>-</v>
      </c>
      <c r="D43" s="1447" t="str">
        <f>'Table 5-A| Primary MPTE'!D75</f>
        <v>-</v>
      </c>
      <c r="E43" s="1447" t="str">
        <f>'Table 5-A| Primary MPTE'!E75</f>
        <v>-</v>
      </c>
      <c r="F43" s="1447" t="str">
        <f>'Table 5-A| Primary MPTE'!F75</f>
        <v>-</v>
      </c>
      <c r="G43" s="1447" t="str">
        <f>'Table 5-A| Primary MPTE'!G75</f>
        <v>-</v>
      </c>
      <c r="H43" s="1447" t="str">
        <f>'Table 5-A| Primary MPTE'!H75</f>
        <v>-</v>
      </c>
      <c r="I43" s="1447" t="str">
        <f>'Table 5-A| Primary MPTE'!I75</f>
        <v>-</v>
      </c>
      <c r="J43" s="1447" t="str">
        <f>'Table 5-A| Primary MPTE'!J75</f>
        <v>-</v>
      </c>
      <c r="K43" s="1447" t="str">
        <f>'Table 5-A| Primary MPTE'!K75</f>
        <v>-</v>
      </c>
      <c r="L43" s="1447" t="str">
        <f>'Table 5-A| Primary MPTE'!L75</f>
        <v>-</v>
      </c>
      <c r="M43" s="1448" t="str">
        <f>'Table 5-A| Primary MPTE'!M75</f>
        <v>-</v>
      </c>
      <c r="S43" s="583" t="s">
        <v>26</v>
      </c>
      <c r="T43" s="110" t="s">
        <v>30</v>
      </c>
      <c r="U43" s="110" t="s">
        <v>3</v>
      </c>
      <c r="V43" s="110" t="s">
        <v>4</v>
      </c>
      <c r="W43" s="110" t="s">
        <v>0</v>
      </c>
      <c r="X43" s="110" t="s">
        <v>5</v>
      </c>
      <c r="Y43" s="98" t="s">
        <v>260</v>
      </c>
      <c r="Z43" s="110" t="s">
        <v>24</v>
      </c>
      <c r="AA43" s="111" t="s">
        <v>25</v>
      </c>
      <c r="AC43" s="1338"/>
      <c r="AD43" s="1339"/>
      <c r="AE43" s="1339"/>
      <c r="AF43" s="1339"/>
      <c r="AG43" s="1339"/>
      <c r="AH43" s="1339"/>
      <c r="AI43" s="1339"/>
      <c r="AJ43" s="1339"/>
      <c r="AK43" s="1340"/>
      <c r="AM43" s="66">
        <v>10300603</v>
      </c>
      <c r="AN43" s="68" t="s">
        <v>2295</v>
      </c>
      <c r="AO43" s="762">
        <v>7.5990000000000002</v>
      </c>
      <c r="AP43" s="762">
        <v>7.5990000000000002</v>
      </c>
      <c r="AQ43" s="762">
        <v>99.960000000000008</v>
      </c>
      <c r="AR43" s="762">
        <v>0.59975999999999996</v>
      </c>
      <c r="AS43" s="762">
        <v>5.4977999999999998</v>
      </c>
      <c r="AT43" s="762">
        <v>83.64</v>
      </c>
      <c r="AU43" s="762">
        <v>120713.86860000002</v>
      </c>
      <c r="AV43" s="629">
        <v>5.0000000000000001E-4</v>
      </c>
      <c r="AW43" s="629">
        <v>1.887</v>
      </c>
      <c r="AX43" s="756" t="s">
        <v>1505</v>
      </c>
      <c r="AY43" s="781">
        <v>1020</v>
      </c>
      <c r="AZ43" s="68"/>
      <c r="BA43" s="66"/>
      <c r="BB43" s="68"/>
      <c r="BH43" s="130"/>
      <c r="BI43" s="130"/>
      <c r="BJ43" s="130"/>
      <c r="BK43" s="130"/>
      <c r="BL43" s="130"/>
      <c r="BM43" s="130"/>
      <c r="BN43" s="130"/>
      <c r="BO43" s="130"/>
      <c r="BP43" s="130"/>
      <c r="BQ43" s="130"/>
      <c r="BR43" s="130"/>
    </row>
    <row r="44" spans="1:70" ht="18" customHeight="1" x14ac:dyDescent="0.25">
      <c r="A44" s="302">
        <f>'Table 5-A| Primary MPTE'!A76</f>
        <v>0</v>
      </c>
      <c r="B44" s="303">
        <f>'Table 5-A| Primary MPTE'!B76</f>
        <v>0</v>
      </c>
      <c r="C44" s="305">
        <f>IFERROR(IF('Table 6-A| Controls &amp; Limits'!C52="Yes",'Table 6-A| Controls &amp; Limits'!E52,'Table 6-A| Controls &amp; Limits'!D52),0)</f>
        <v>0</v>
      </c>
      <c r="D44" s="391">
        <f>'Table 5-A| Primary MPTE'!D76</f>
        <v>0</v>
      </c>
      <c r="E44" s="782">
        <f>IF('Table 6-B| Emission Limits'!E35=0,IFERROR(IFERROR(1-VLOOKUP('Table 6-A| Controls &amp; Limits'!$K52,'Emission Controls'!$A$20:$L$33,4,),1)*('Table 5-A| Primary MPTE'!G76*'Table 7-A| Primary APTE'!$C44/'Table 5-A| Primary MPTE'!$E76),0),'Table 6-B| Emission Limits'!E35)</f>
        <v>0</v>
      </c>
      <c r="F44" s="393">
        <f>IF('Table 6-B| Emission Limits'!F35=0,IFERROR(IFERROR(1-VLOOKUP('Table 6-A| Controls &amp; Limits'!$K52,'Emission Controls'!$A$20:$L$33,5,),1)*('Table 5-A| Primary MPTE'!H76*'Table 7-A| Primary APTE'!$C44/'Table 5-A| Primary MPTE'!$E76),0),'Table 6-B| Emission Limits'!F35)</f>
        <v>0</v>
      </c>
      <c r="G44" s="393">
        <f>IF('Table 6-B| Emission Limits'!G35=0,IFERROR(IFERROR(1-VLOOKUP('Table 6-A| Controls &amp; Limits'!$K52,'Emission Controls'!$A$20:$L$33,6,),1)*('Table 5-A| Primary MPTE'!I76*'Table 7-A| Primary APTE'!$C44/'Table 5-A| Primary MPTE'!$E76),0),'Table 6-B| Emission Limits'!G35)</f>
        <v>0</v>
      </c>
      <c r="H44" s="393">
        <f>IF('Table 6-B| Emission Limits'!H35=0,IFERROR(IFERROR(1-VLOOKUP('Table 6-A| Controls &amp; Limits'!$K52,'Emission Controls'!$A$20:$L$33,7,),1)*('Table 5-A| Primary MPTE'!J76*'Table 7-A| Primary APTE'!$C44/'Table 5-A| Primary MPTE'!$E76),0),'Table 6-B| Emission Limits'!H35)</f>
        <v>0</v>
      </c>
      <c r="I44" s="393">
        <f>IF('Table 6-B| Emission Limits'!I35=0,IFERROR(IFERROR(1-VLOOKUP('Table 6-A| Controls &amp; Limits'!$K52,'Emission Controls'!$A$20:$L$33,8,),1)*('Table 5-A| Primary MPTE'!K76*'Table 7-A| Primary APTE'!$C44/'Table 5-A| Primary MPTE'!$E76),0),'Table 6-B| Emission Limits'!I35)</f>
        <v>0</v>
      </c>
      <c r="J44" s="393">
        <f>IF('Table 6-B| Emission Limits'!J35=0,IFERROR(IFERROR(1-VLOOKUP('Table 6-A| Controls &amp; Limits'!$K52,'Emission Controls'!$A$20:$L$33,9,),1)*('Table 5-A| Primary MPTE'!L76*'Table 7-A| Primary APTE'!$C44/'Table 5-A| Primary MPTE'!$E76),0),'Table 6-B| Emission Limits'!J35)</f>
        <v>0</v>
      </c>
      <c r="K44" s="393">
        <f>IF('Table 6-B| Emission Limits'!K35=0,IFERROR(IFERROR(1-VLOOKUP('Table 6-A| Controls &amp; Limits'!$K52,'Emission Controls'!$A$20:$L$33,10,),1)*('Table 5-A| Primary MPTE'!M76*'Table 7-A| Primary APTE'!$C44/'Table 5-A| Primary MPTE'!$E76),0),'Table 6-B| Emission Limits'!K35)</f>
        <v>0</v>
      </c>
      <c r="L44" s="393">
        <f>IF('Table 6-B| Emission Limits'!L35=0,IFERROR(IFERROR(1-VLOOKUP('Table 6-A| Controls &amp; Limits'!$K52,'Emission Controls'!$A$20:$L$33,11,),1)*('Table 5-A| Primary MPTE'!N76*'Table 7-A| Primary APTE'!$C44/'Table 5-A| Primary MPTE'!$E76),0),'Table 6-B| Emission Limits'!L35)</f>
        <v>0</v>
      </c>
      <c r="M44" s="394">
        <f>IF('Table 6-B| Emission Limits'!M35=0,IFERROR(IFERROR(1-VLOOKUP('Table 6-A| Controls &amp; Limits'!$K52,'Emission Controls'!$A$20:$L$33,12,),1)*('Table 5-A| Primary MPTE'!O76*'Table 7-A| Primary APTE'!$C44/'Table 5-A| Primary MPTE'!$E76),0),'Table 6-B| Emission Limits'!M35)</f>
        <v>0</v>
      </c>
      <c r="S44" s="589"/>
      <c r="T44" s="590"/>
      <c r="U44" s="590"/>
      <c r="V44" s="585"/>
      <c r="W44" s="585"/>
      <c r="X44" s="585"/>
      <c r="Y44" s="585"/>
      <c r="Z44" s="585"/>
      <c r="AA44" s="588"/>
      <c r="AC44" s="589"/>
      <c r="AD44" s="590"/>
      <c r="AE44" s="590"/>
      <c r="AF44" s="585"/>
      <c r="AG44" s="585"/>
      <c r="AH44" s="585"/>
      <c r="AI44" s="585"/>
      <c r="AJ44" s="585"/>
      <c r="AK44" s="588"/>
      <c r="AM44" s="66">
        <v>10300604</v>
      </c>
      <c r="AN44" s="68" t="s">
        <v>2311</v>
      </c>
      <c r="AO44" s="762">
        <v>7.5990000000000002</v>
      </c>
      <c r="AP44" s="762">
        <v>7.5990000000000002</v>
      </c>
      <c r="AQ44" s="762">
        <v>170.34</v>
      </c>
      <c r="AR44" s="762">
        <v>0.59975999999999996</v>
      </c>
      <c r="AS44" s="762">
        <v>5.4977999999999998</v>
      </c>
      <c r="AT44" s="762">
        <v>24.48</v>
      </c>
      <c r="AU44" s="762">
        <v>120713.86860000002</v>
      </c>
      <c r="AV44" s="629">
        <v>5.0000000000000001E-4</v>
      </c>
      <c r="AW44" s="629">
        <v>1.887</v>
      </c>
      <c r="AX44" s="756" t="s">
        <v>1505</v>
      </c>
      <c r="AY44" s="781">
        <v>1020</v>
      </c>
      <c r="AZ44" s="68"/>
      <c r="BA44" s="66"/>
      <c r="BB44" s="68"/>
      <c r="BH44" s="130"/>
      <c r="BI44" s="130"/>
      <c r="BJ44" s="130"/>
      <c r="BK44" s="130"/>
      <c r="BL44" s="130"/>
      <c r="BM44" s="130"/>
      <c r="BN44" s="130"/>
      <c r="BO44" s="130"/>
      <c r="BP44" s="130"/>
      <c r="BQ44" s="130"/>
      <c r="BR44" s="130"/>
    </row>
    <row r="45" spans="1:70" ht="18" customHeight="1" x14ac:dyDescent="0.25">
      <c r="A45" s="630">
        <f>'Table 5-A| Primary MPTE'!A77</f>
        <v>0</v>
      </c>
      <c r="B45" s="626">
        <f>'Table 5-A| Primary MPTE'!B77</f>
        <v>0</v>
      </c>
      <c r="C45" s="631">
        <f>IFERROR(IF('Table 6-A| Controls &amp; Limits'!C53="Yes",'Table 6-A| Controls &amp; Limits'!E53,'Table 6-A| Controls &amp; Limits'!D53),0)</f>
        <v>0</v>
      </c>
      <c r="D45" s="625">
        <f>'Table 5-A| Primary MPTE'!D77</f>
        <v>0</v>
      </c>
      <c r="E45" s="632">
        <f>IF('Table 6-B| Emission Limits'!E36=0,IFERROR(IFERROR(1-VLOOKUP('Table 6-A| Controls &amp; Limits'!$K53,'Emission Controls'!$A$20:$L$33,4,),1)*('Table 5-A| Primary MPTE'!G77*'Table 7-A| Primary APTE'!$C45/'Table 5-A| Primary MPTE'!$E77),0),'Table 6-B| Emission Limits'!E36)</f>
        <v>0</v>
      </c>
      <c r="F45" s="633">
        <f>IF('Table 6-B| Emission Limits'!F36=0,IFERROR(IFERROR(1-VLOOKUP('Table 6-A| Controls &amp; Limits'!$K53,'Emission Controls'!$A$20:$L$33,5,),1)*('Table 5-A| Primary MPTE'!H77*'Table 7-A| Primary APTE'!$C45/'Table 5-A| Primary MPTE'!$E77),0),'Table 6-B| Emission Limits'!F36)</f>
        <v>0</v>
      </c>
      <c r="G45" s="633">
        <f>IF('Table 6-B| Emission Limits'!G36=0,IFERROR(IFERROR(1-VLOOKUP('Table 6-A| Controls &amp; Limits'!$K53,'Emission Controls'!$A$20:$L$33,6,),1)*('Table 5-A| Primary MPTE'!I77*'Table 7-A| Primary APTE'!$C45/'Table 5-A| Primary MPTE'!$E77),0),'Table 6-B| Emission Limits'!G36)</f>
        <v>0</v>
      </c>
      <c r="H45" s="633">
        <f>IF('Table 6-B| Emission Limits'!H36=0,IFERROR(IFERROR(1-VLOOKUP('Table 6-A| Controls &amp; Limits'!$K53,'Emission Controls'!$A$20:$L$33,7,),1)*('Table 5-A| Primary MPTE'!J77*'Table 7-A| Primary APTE'!$C45/'Table 5-A| Primary MPTE'!$E77),0),'Table 6-B| Emission Limits'!H36)</f>
        <v>0</v>
      </c>
      <c r="I45" s="633">
        <f>IF('Table 6-B| Emission Limits'!I36=0,IFERROR(IFERROR(1-VLOOKUP('Table 6-A| Controls &amp; Limits'!$K53,'Emission Controls'!$A$20:$L$33,8,),1)*('Table 5-A| Primary MPTE'!K77*'Table 7-A| Primary APTE'!$C45/'Table 5-A| Primary MPTE'!$E77),0),'Table 6-B| Emission Limits'!I36)</f>
        <v>0</v>
      </c>
      <c r="J45" s="633">
        <f>IF('Table 6-B| Emission Limits'!J36=0,IFERROR(IFERROR(1-VLOOKUP('Table 6-A| Controls &amp; Limits'!$K53,'Emission Controls'!$A$20:$L$33,9,),1)*('Table 5-A| Primary MPTE'!L77*'Table 7-A| Primary APTE'!$C45/'Table 5-A| Primary MPTE'!$E77),0),'Table 6-B| Emission Limits'!J36)</f>
        <v>0</v>
      </c>
      <c r="K45" s="633">
        <f>IF('Table 6-B| Emission Limits'!K36=0,IFERROR(IFERROR(1-VLOOKUP('Table 6-A| Controls &amp; Limits'!$K53,'Emission Controls'!$A$20:$L$33,10,),1)*('Table 5-A| Primary MPTE'!M77*'Table 7-A| Primary APTE'!$C45/'Table 5-A| Primary MPTE'!$E77),0),'Table 6-B| Emission Limits'!K36)</f>
        <v>0</v>
      </c>
      <c r="L45" s="633">
        <f>IF('Table 6-B| Emission Limits'!L36=0,IFERROR(IFERROR(1-VLOOKUP('Table 6-A| Controls &amp; Limits'!$K53,'Emission Controls'!$A$20:$L$33,11,),1)*('Table 5-A| Primary MPTE'!N77*'Table 7-A| Primary APTE'!$C45/'Table 5-A| Primary MPTE'!$E77),0),'Table 6-B| Emission Limits'!L36)</f>
        <v>0</v>
      </c>
      <c r="M45" s="634">
        <f>IF('Table 6-B| Emission Limits'!M36=0,IFERROR(IFERROR(1-VLOOKUP('Table 6-A| Controls &amp; Limits'!$K53,'Emission Controls'!$A$20:$L$33,12,),1)*('Table 5-A| Primary MPTE'!O77*'Table 7-A| Primary APTE'!$C45/'Table 5-A| Primary MPTE'!$E77),0),'Table 6-B| Emission Limits'!M36)</f>
        <v>0</v>
      </c>
      <c r="S45" s="589"/>
      <c r="T45" s="590"/>
      <c r="U45" s="590"/>
      <c r="V45" s="585"/>
      <c r="W45" s="585"/>
      <c r="X45" s="585"/>
      <c r="Y45" s="585"/>
      <c r="Z45" s="585"/>
      <c r="AA45" s="588"/>
      <c r="AC45" s="589"/>
      <c r="AD45" s="590"/>
      <c r="AE45" s="590"/>
      <c r="AF45" s="585"/>
      <c r="AG45" s="585"/>
      <c r="AH45" s="585"/>
      <c r="AI45" s="585"/>
      <c r="AJ45" s="585"/>
      <c r="AK45" s="588"/>
      <c r="AM45" s="66">
        <v>10301002</v>
      </c>
      <c r="AN45" s="68" t="s">
        <v>2320</v>
      </c>
      <c r="AO45" s="762">
        <v>1.09596</v>
      </c>
      <c r="AP45" s="762">
        <v>1.09596</v>
      </c>
      <c r="AQ45" s="762">
        <v>18.996639999999999</v>
      </c>
      <c r="AR45" s="762">
        <v>5.3976030000000001E-2</v>
      </c>
      <c r="AS45" s="762">
        <v>0.49957509999999999</v>
      </c>
      <c r="AT45" s="762">
        <v>3.1965500000000002</v>
      </c>
      <c r="AU45" s="762">
        <v>12505.337417500001</v>
      </c>
      <c r="AV45" s="629">
        <v>0</v>
      </c>
      <c r="AW45" s="629">
        <v>0</v>
      </c>
      <c r="AX45" s="756" t="s">
        <v>1506</v>
      </c>
      <c r="AY45" s="781">
        <v>91.33</v>
      </c>
      <c r="AZ45" s="68"/>
      <c r="BA45" s="66"/>
      <c r="BB45" s="68"/>
      <c r="BH45" s="130"/>
      <c r="BI45" s="130"/>
      <c r="BJ45" s="130"/>
      <c r="BK45" s="130"/>
      <c r="BL45" s="130"/>
      <c r="BM45" s="130"/>
      <c r="BN45" s="130"/>
      <c r="BO45" s="130"/>
      <c r="BP45" s="130"/>
      <c r="BQ45" s="130"/>
      <c r="BR45" s="130"/>
    </row>
    <row r="46" spans="1:70" ht="18" customHeight="1" x14ac:dyDescent="0.25">
      <c r="A46" s="302">
        <f>'Table 5-A| Primary MPTE'!A78</f>
        <v>0</v>
      </c>
      <c r="B46" s="303">
        <f>'Table 5-A| Primary MPTE'!B78</f>
        <v>0</v>
      </c>
      <c r="C46" s="305">
        <f>IFERROR(IF('Table 6-A| Controls &amp; Limits'!C54="Yes",'Table 6-A| Controls &amp; Limits'!E54,'Table 6-A| Controls &amp; Limits'!D54),0)</f>
        <v>0</v>
      </c>
      <c r="D46" s="391">
        <f>'Table 5-A| Primary MPTE'!D78</f>
        <v>0</v>
      </c>
      <c r="E46" s="392">
        <f>IF('Table 6-B| Emission Limits'!E37=0,IFERROR(IFERROR(1-VLOOKUP('Table 6-A| Controls &amp; Limits'!$K54,'Emission Controls'!$A$20:$L$33,4,),1)*('Table 5-A| Primary MPTE'!G78*'Table 7-A| Primary APTE'!$C46/'Table 5-A| Primary MPTE'!$E78),0),'Table 6-B| Emission Limits'!E37)</f>
        <v>0</v>
      </c>
      <c r="F46" s="393">
        <f>IF('Table 6-B| Emission Limits'!F37=0,IFERROR(IFERROR(1-VLOOKUP('Table 6-A| Controls &amp; Limits'!$K54,'Emission Controls'!$A$20:$L$33,5,),1)*('Table 5-A| Primary MPTE'!H78*'Table 7-A| Primary APTE'!$C46/'Table 5-A| Primary MPTE'!$E78),0),'Table 6-B| Emission Limits'!F37)</f>
        <v>0</v>
      </c>
      <c r="G46" s="393">
        <f>IF('Table 6-B| Emission Limits'!G37=0,IFERROR(IFERROR(1-VLOOKUP('Table 6-A| Controls &amp; Limits'!$K54,'Emission Controls'!$A$20:$L$33,6,),1)*('Table 5-A| Primary MPTE'!I78*'Table 7-A| Primary APTE'!$C46/'Table 5-A| Primary MPTE'!$E78),0),'Table 6-B| Emission Limits'!G37)</f>
        <v>0</v>
      </c>
      <c r="H46" s="393">
        <f>IF('Table 6-B| Emission Limits'!H37=0,IFERROR(IFERROR(1-VLOOKUP('Table 6-A| Controls &amp; Limits'!$K54,'Emission Controls'!$A$20:$L$33,7,),1)*('Table 5-A| Primary MPTE'!J78*'Table 7-A| Primary APTE'!$C46/'Table 5-A| Primary MPTE'!$E78),0),'Table 6-B| Emission Limits'!H37)</f>
        <v>0</v>
      </c>
      <c r="I46" s="393">
        <f>IF('Table 6-B| Emission Limits'!I37=0,IFERROR(IFERROR(1-VLOOKUP('Table 6-A| Controls &amp; Limits'!$K54,'Emission Controls'!$A$20:$L$33,8,),1)*('Table 5-A| Primary MPTE'!K78*'Table 7-A| Primary APTE'!$C46/'Table 5-A| Primary MPTE'!$E78),0),'Table 6-B| Emission Limits'!I37)</f>
        <v>0</v>
      </c>
      <c r="J46" s="393">
        <f>IF('Table 6-B| Emission Limits'!J37=0,IFERROR(IFERROR(1-VLOOKUP('Table 6-A| Controls &amp; Limits'!$K54,'Emission Controls'!$A$20:$L$33,9,),1)*('Table 5-A| Primary MPTE'!L78*'Table 7-A| Primary APTE'!$C46/'Table 5-A| Primary MPTE'!$E78),0),'Table 6-B| Emission Limits'!J37)</f>
        <v>0</v>
      </c>
      <c r="K46" s="393">
        <f>IF('Table 6-B| Emission Limits'!K37=0,IFERROR(IFERROR(1-VLOOKUP('Table 6-A| Controls &amp; Limits'!$K54,'Emission Controls'!$A$20:$L$33,10,),1)*('Table 5-A| Primary MPTE'!M78*'Table 7-A| Primary APTE'!$C46/'Table 5-A| Primary MPTE'!$E78),0),'Table 6-B| Emission Limits'!K37)</f>
        <v>0</v>
      </c>
      <c r="L46" s="393">
        <f>IF('Table 6-B| Emission Limits'!L37=0,IFERROR(IFERROR(1-VLOOKUP('Table 6-A| Controls &amp; Limits'!$K54,'Emission Controls'!$A$20:$L$33,11,),1)*('Table 5-A| Primary MPTE'!N78*'Table 7-A| Primary APTE'!$C46/'Table 5-A| Primary MPTE'!$E78),0),'Table 6-B| Emission Limits'!L37)</f>
        <v>0</v>
      </c>
      <c r="M46" s="394">
        <f>IF('Table 6-B| Emission Limits'!M37=0,IFERROR(IFERROR(1-VLOOKUP('Table 6-A| Controls &amp; Limits'!$K54,'Emission Controls'!$A$20:$L$33,12,),1)*('Table 5-A| Primary MPTE'!O78*'Table 7-A| Primary APTE'!$C46/'Table 5-A| Primary MPTE'!$E78),0),'Table 6-B| Emission Limits'!M37)</f>
        <v>0</v>
      </c>
      <c r="S46" s="589"/>
      <c r="T46" s="590"/>
      <c r="U46" s="590"/>
      <c r="V46" s="585"/>
      <c r="W46" s="585"/>
      <c r="X46" s="585"/>
      <c r="Y46" s="585"/>
      <c r="Z46" s="585"/>
      <c r="AA46" s="588"/>
      <c r="AC46" s="589"/>
      <c r="AD46" s="590"/>
      <c r="AE46" s="590"/>
      <c r="AF46" s="585"/>
      <c r="AG46" s="585"/>
      <c r="AH46" s="585"/>
      <c r="AI46" s="585"/>
      <c r="AJ46" s="585"/>
      <c r="AK46" s="588"/>
      <c r="AM46" s="66">
        <v>20200101</v>
      </c>
      <c r="AN46" s="68" t="s">
        <v>2291</v>
      </c>
      <c r="AO46" s="762">
        <v>1.5289999999999999</v>
      </c>
      <c r="AP46" s="762">
        <v>1.5289999999999999</v>
      </c>
      <c r="AQ46" s="762">
        <v>122.32000000000001</v>
      </c>
      <c r="AR46" s="762">
        <v>7.0889999999999995</v>
      </c>
      <c r="AS46" s="762">
        <v>5.6989999999999999E-2</v>
      </c>
      <c r="AT46" s="762">
        <v>0.4587</v>
      </c>
      <c r="AU46" s="762">
        <v>21823</v>
      </c>
      <c r="AV46" s="629">
        <v>1.946E-3</v>
      </c>
      <c r="AW46" s="629">
        <v>0.17931</v>
      </c>
      <c r="AX46" s="756" t="s">
        <v>1506</v>
      </c>
      <c r="AY46" s="781">
        <v>139</v>
      </c>
      <c r="AZ46" s="68"/>
      <c r="BA46" s="66"/>
      <c r="BB46" s="68"/>
      <c r="BH46" s="130"/>
      <c r="BI46" s="130"/>
      <c r="BJ46" s="130"/>
      <c r="BK46" s="130"/>
      <c r="BL46" s="130"/>
      <c r="BM46" s="130"/>
      <c r="BN46" s="130"/>
      <c r="BO46" s="130"/>
      <c r="BP46" s="130"/>
      <c r="BQ46" s="130"/>
      <c r="BR46" s="130"/>
    </row>
    <row r="47" spans="1:70" ht="18" customHeight="1" x14ac:dyDescent="0.25">
      <c r="A47" s="302">
        <f>'Table 5-A| Primary MPTE'!A79</f>
        <v>0</v>
      </c>
      <c r="B47" s="303">
        <f>'Table 5-A| Primary MPTE'!B79</f>
        <v>0</v>
      </c>
      <c r="C47" s="305">
        <f>IFERROR(IF('Table 6-A| Controls &amp; Limits'!C55="Yes",'Table 6-A| Controls &amp; Limits'!E55,'Table 6-A| Controls &amp; Limits'!D55),0)</f>
        <v>0</v>
      </c>
      <c r="D47" s="391">
        <f>'Table 5-A| Primary MPTE'!D79</f>
        <v>0</v>
      </c>
      <c r="E47" s="392">
        <f>IF('Table 6-B| Emission Limits'!E38=0,IFERROR(IFERROR(1-VLOOKUP('Table 6-A| Controls &amp; Limits'!$K55,'Emission Controls'!$A$20:$L$33,4,),1)*('Table 5-A| Primary MPTE'!G79*'Table 7-A| Primary APTE'!$C47/'Table 5-A| Primary MPTE'!$E79),0),'Table 6-B| Emission Limits'!E38)</f>
        <v>0</v>
      </c>
      <c r="F47" s="393">
        <f>IF('Table 6-B| Emission Limits'!F38=0,IFERROR(IFERROR(1-VLOOKUP('Table 6-A| Controls &amp; Limits'!$K55,'Emission Controls'!$A$20:$L$33,5,),1)*('Table 5-A| Primary MPTE'!H79*'Table 7-A| Primary APTE'!$C47/'Table 5-A| Primary MPTE'!$E79),0),'Table 6-B| Emission Limits'!F38)</f>
        <v>0</v>
      </c>
      <c r="G47" s="393">
        <f>IF('Table 6-B| Emission Limits'!G38=0,IFERROR(IFERROR(1-VLOOKUP('Table 6-A| Controls &amp; Limits'!$K55,'Emission Controls'!$A$20:$L$33,6,),1)*('Table 5-A| Primary MPTE'!I79*'Table 7-A| Primary APTE'!$C47/'Table 5-A| Primary MPTE'!$E79),0),'Table 6-B| Emission Limits'!G38)</f>
        <v>0</v>
      </c>
      <c r="H47" s="393">
        <f>IF('Table 6-B| Emission Limits'!H38=0,IFERROR(IFERROR(1-VLOOKUP('Table 6-A| Controls &amp; Limits'!$K55,'Emission Controls'!$A$20:$L$33,7,),1)*('Table 5-A| Primary MPTE'!J79*'Table 7-A| Primary APTE'!$C47/'Table 5-A| Primary MPTE'!$E79),0),'Table 6-B| Emission Limits'!H38)</f>
        <v>0</v>
      </c>
      <c r="I47" s="393">
        <f>IF('Table 6-B| Emission Limits'!I38=0,IFERROR(IFERROR(1-VLOOKUP('Table 6-A| Controls &amp; Limits'!$K55,'Emission Controls'!$A$20:$L$33,8,),1)*('Table 5-A| Primary MPTE'!K79*'Table 7-A| Primary APTE'!$C47/'Table 5-A| Primary MPTE'!$E79),0),'Table 6-B| Emission Limits'!I38)</f>
        <v>0</v>
      </c>
      <c r="J47" s="393">
        <f>IF('Table 6-B| Emission Limits'!J38=0,IFERROR(IFERROR(1-VLOOKUP('Table 6-A| Controls &amp; Limits'!$K55,'Emission Controls'!$A$20:$L$33,9,),1)*('Table 5-A| Primary MPTE'!L79*'Table 7-A| Primary APTE'!$C47/'Table 5-A| Primary MPTE'!$E79),0),'Table 6-B| Emission Limits'!J38)</f>
        <v>0</v>
      </c>
      <c r="K47" s="393">
        <f>IF('Table 6-B| Emission Limits'!K38=0,IFERROR(IFERROR(1-VLOOKUP('Table 6-A| Controls &amp; Limits'!$K55,'Emission Controls'!$A$20:$L$33,10,),1)*('Table 5-A| Primary MPTE'!M79*'Table 7-A| Primary APTE'!$C47/'Table 5-A| Primary MPTE'!$E79),0),'Table 6-B| Emission Limits'!K38)</f>
        <v>0</v>
      </c>
      <c r="L47" s="393">
        <f>IF('Table 6-B| Emission Limits'!L38=0,IFERROR(IFERROR(1-VLOOKUP('Table 6-A| Controls &amp; Limits'!$K55,'Emission Controls'!$A$20:$L$33,11,),1)*('Table 5-A| Primary MPTE'!N79*'Table 7-A| Primary APTE'!$C47/'Table 5-A| Primary MPTE'!$E79),0),'Table 6-B| Emission Limits'!L38)</f>
        <v>0</v>
      </c>
      <c r="M47" s="394">
        <f>IF('Table 6-B| Emission Limits'!M38=0,IFERROR(IFERROR(1-VLOOKUP('Table 6-A| Controls &amp; Limits'!$K55,'Emission Controls'!$A$20:$L$33,12,),1)*('Table 5-A| Primary MPTE'!O79*'Table 7-A| Primary APTE'!$C47/'Table 5-A| Primary MPTE'!$E79),0),'Table 6-B| Emission Limits'!M38)</f>
        <v>0</v>
      </c>
      <c r="S47" s="589"/>
      <c r="T47" s="590"/>
      <c r="U47" s="590"/>
      <c r="V47" s="585"/>
      <c r="W47" s="585"/>
      <c r="X47" s="585"/>
      <c r="Y47" s="585"/>
      <c r="Z47" s="585"/>
      <c r="AA47" s="588"/>
      <c r="AC47" s="589"/>
      <c r="AD47" s="590"/>
      <c r="AE47" s="590"/>
      <c r="AF47" s="585"/>
      <c r="AG47" s="585"/>
      <c r="AH47" s="585"/>
      <c r="AI47" s="585"/>
      <c r="AJ47" s="585"/>
      <c r="AK47" s="588"/>
      <c r="AM47" s="66">
        <v>20200102</v>
      </c>
      <c r="AN47" s="68" t="s">
        <v>2130</v>
      </c>
      <c r="AO47" s="762">
        <v>42.5</v>
      </c>
      <c r="AP47" s="762">
        <v>42.5</v>
      </c>
      <c r="AQ47" s="762">
        <v>604</v>
      </c>
      <c r="AR47" s="762">
        <v>39.700000000000003</v>
      </c>
      <c r="AS47" s="762">
        <v>49.3</v>
      </c>
      <c r="AT47" s="762">
        <v>130</v>
      </c>
      <c r="AU47" s="762">
        <v>22600</v>
      </c>
      <c r="AV47" s="629">
        <v>0</v>
      </c>
      <c r="AW47" s="629">
        <v>5.2386381949999993E-4</v>
      </c>
      <c r="AX47" s="756" t="s">
        <v>1506</v>
      </c>
      <c r="AY47" s="781">
        <v>139</v>
      </c>
      <c r="AZ47" s="68"/>
      <c r="BA47" s="66"/>
      <c r="BB47" s="68"/>
      <c r="BH47" s="130"/>
      <c r="BI47" s="130"/>
      <c r="BJ47" s="130"/>
      <c r="BK47" s="130"/>
      <c r="BL47" s="130"/>
      <c r="BM47" s="130"/>
      <c r="BN47" s="130"/>
      <c r="BO47" s="130"/>
      <c r="BP47" s="130"/>
      <c r="BQ47" s="130"/>
      <c r="BR47" s="130"/>
    </row>
    <row r="48" spans="1:70" ht="18" customHeight="1" x14ac:dyDescent="0.25">
      <c r="A48" s="630">
        <f>'Table 5-A| Primary MPTE'!A80</f>
        <v>0</v>
      </c>
      <c r="B48" s="626">
        <f>'Table 5-A| Primary MPTE'!B80</f>
        <v>0</v>
      </c>
      <c r="C48" s="631">
        <f>IFERROR(IF('Table 6-A| Controls &amp; Limits'!C56="Yes",'Table 6-A| Controls &amp; Limits'!E56,'Table 6-A| Controls &amp; Limits'!D56),0)</f>
        <v>0</v>
      </c>
      <c r="D48" s="625">
        <f>'Table 5-A| Primary MPTE'!D80</f>
        <v>0</v>
      </c>
      <c r="E48" s="632">
        <f>IF('Table 6-B| Emission Limits'!E39=0,IFERROR(IFERROR(1-VLOOKUP('Table 6-A| Controls &amp; Limits'!$K56,'Emission Controls'!$A$20:$L$33,4,),1)*('Table 5-A| Primary MPTE'!G80*'Table 7-A| Primary APTE'!$C48/'Table 5-A| Primary MPTE'!$E80),0),'Table 6-B| Emission Limits'!E39)</f>
        <v>0</v>
      </c>
      <c r="F48" s="633">
        <f>IF('Table 6-B| Emission Limits'!F39=0,IFERROR(IFERROR(1-VLOOKUP('Table 6-A| Controls &amp; Limits'!$K56,'Emission Controls'!$A$20:$L$33,5,),1)*('Table 5-A| Primary MPTE'!H80*'Table 7-A| Primary APTE'!$C48/'Table 5-A| Primary MPTE'!$E80),0),'Table 6-B| Emission Limits'!F39)</f>
        <v>0</v>
      </c>
      <c r="G48" s="633">
        <f>IF('Table 6-B| Emission Limits'!G39=0,IFERROR(IFERROR(1-VLOOKUP('Table 6-A| Controls &amp; Limits'!$K56,'Emission Controls'!$A$20:$L$33,6,),1)*('Table 5-A| Primary MPTE'!I80*'Table 7-A| Primary APTE'!$C48/'Table 5-A| Primary MPTE'!$E80),0),'Table 6-B| Emission Limits'!G39)</f>
        <v>0</v>
      </c>
      <c r="H48" s="633">
        <f>IF('Table 6-B| Emission Limits'!H39=0,IFERROR(IFERROR(1-VLOOKUP('Table 6-A| Controls &amp; Limits'!$K56,'Emission Controls'!$A$20:$L$33,7,),1)*('Table 5-A| Primary MPTE'!J80*'Table 7-A| Primary APTE'!$C48/'Table 5-A| Primary MPTE'!$E80),0),'Table 6-B| Emission Limits'!H39)</f>
        <v>0</v>
      </c>
      <c r="I48" s="633">
        <f>IF('Table 6-B| Emission Limits'!I39=0,IFERROR(IFERROR(1-VLOOKUP('Table 6-A| Controls &amp; Limits'!$K56,'Emission Controls'!$A$20:$L$33,8,),1)*('Table 5-A| Primary MPTE'!K80*'Table 7-A| Primary APTE'!$C48/'Table 5-A| Primary MPTE'!$E80),0),'Table 6-B| Emission Limits'!I39)</f>
        <v>0</v>
      </c>
      <c r="J48" s="633">
        <f>IF('Table 6-B| Emission Limits'!J39=0,IFERROR(IFERROR(1-VLOOKUP('Table 6-A| Controls &amp; Limits'!$K56,'Emission Controls'!$A$20:$L$33,9,),1)*('Table 5-A| Primary MPTE'!L80*'Table 7-A| Primary APTE'!$C48/'Table 5-A| Primary MPTE'!$E80),0),'Table 6-B| Emission Limits'!J39)</f>
        <v>0</v>
      </c>
      <c r="K48" s="633">
        <f>IF('Table 6-B| Emission Limits'!K39=0,IFERROR(IFERROR(1-VLOOKUP('Table 6-A| Controls &amp; Limits'!$K56,'Emission Controls'!$A$20:$L$33,10,),1)*('Table 5-A| Primary MPTE'!M80*'Table 7-A| Primary APTE'!$C48/'Table 5-A| Primary MPTE'!$E80),0),'Table 6-B| Emission Limits'!K39)</f>
        <v>0</v>
      </c>
      <c r="L48" s="633">
        <f>IF('Table 6-B| Emission Limits'!L39=0,IFERROR(IFERROR(1-VLOOKUP('Table 6-A| Controls &amp; Limits'!$K56,'Emission Controls'!$A$20:$L$33,11,),1)*('Table 5-A| Primary MPTE'!N80*'Table 7-A| Primary APTE'!$C48/'Table 5-A| Primary MPTE'!$E80),0),'Table 6-B| Emission Limits'!L39)</f>
        <v>0</v>
      </c>
      <c r="M48" s="634">
        <f>IF('Table 6-B| Emission Limits'!M39=0,IFERROR(IFERROR(1-VLOOKUP('Table 6-A| Controls &amp; Limits'!$K56,'Emission Controls'!$A$20:$L$33,12,),1)*('Table 5-A| Primary MPTE'!O80*'Table 7-A| Primary APTE'!$C48/'Table 5-A| Primary MPTE'!$E80),0),'Table 6-B| Emission Limits'!M39)</f>
        <v>0</v>
      </c>
      <c r="S48" s="589"/>
      <c r="T48" s="590"/>
      <c r="U48" s="590"/>
      <c r="V48" s="585"/>
      <c r="W48" s="585"/>
      <c r="X48" s="585"/>
      <c r="Y48" s="585"/>
      <c r="Z48" s="585"/>
      <c r="AA48" s="588"/>
      <c r="AB48" s="547"/>
      <c r="AC48" s="589"/>
      <c r="AD48" s="590"/>
      <c r="AE48" s="590"/>
      <c r="AF48" s="585"/>
      <c r="AG48" s="585"/>
      <c r="AH48" s="585"/>
      <c r="AI48" s="585"/>
      <c r="AJ48" s="585"/>
      <c r="AK48" s="588"/>
      <c r="AM48" s="66">
        <v>20200201</v>
      </c>
      <c r="AN48" s="68" t="s">
        <v>2292</v>
      </c>
      <c r="AO48" s="762">
        <v>6.7320000000000002</v>
      </c>
      <c r="AP48" s="762">
        <v>1.9379999999999999</v>
      </c>
      <c r="AQ48" s="762">
        <v>326.40000000000003</v>
      </c>
      <c r="AR48" s="762">
        <v>0.59975999999999996</v>
      </c>
      <c r="AS48" s="762">
        <v>2.1419999999999999</v>
      </c>
      <c r="AT48" s="762">
        <v>83.64</v>
      </c>
      <c r="AU48" s="762">
        <v>112419.3</v>
      </c>
      <c r="AV48" s="629">
        <v>0</v>
      </c>
      <c r="AW48" s="629">
        <v>1.2954000000000001</v>
      </c>
      <c r="AX48" s="756" t="s">
        <v>1505</v>
      </c>
      <c r="AY48" s="781">
        <v>1020</v>
      </c>
      <c r="BH48" s="130"/>
      <c r="BI48" s="130"/>
      <c r="BJ48" s="130"/>
      <c r="BK48" s="130"/>
      <c r="BL48" s="130"/>
      <c r="BM48" s="130"/>
      <c r="BN48" s="130"/>
      <c r="BO48" s="130"/>
      <c r="BP48" s="130"/>
      <c r="BQ48" s="130"/>
      <c r="BR48" s="130"/>
    </row>
    <row r="49" spans="1:70" ht="18" customHeight="1" x14ac:dyDescent="0.25">
      <c r="A49" s="302">
        <f>'Table 5-A| Primary MPTE'!A81</f>
        <v>0</v>
      </c>
      <c r="B49" s="303">
        <f>'Table 5-A| Primary MPTE'!B81</f>
        <v>0</v>
      </c>
      <c r="C49" s="305">
        <f>IFERROR(IF('Table 6-A| Controls &amp; Limits'!C57="Yes",'Table 6-A| Controls &amp; Limits'!E57,'Table 6-A| Controls &amp; Limits'!D57),0)</f>
        <v>0</v>
      </c>
      <c r="D49" s="391">
        <f>'Table 5-A| Primary MPTE'!D81</f>
        <v>0</v>
      </c>
      <c r="E49" s="392">
        <f>IF('Table 6-B| Emission Limits'!E40=0,IFERROR(IFERROR(1-VLOOKUP('Table 6-A| Controls &amp; Limits'!$K57,'Emission Controls'!$A$20:$L$33,4,),1)*('Table 5-A| Primary MPTE'!G81*'Table 7-A| Primary APTE'!$C49/'Table 5-A| Primary MPTE'!$E81),0),'Table 6-B| Emission Limits'!E40)</f>
        <v>0</v>
      </c>
      <c r="F49" s="393">
        <f>IF('Table 6-B| Emission Limits'!F40=0,IFERROR(IFERROR(1-VLOOKUP('Table 6-A| Controls &amp; Limits'!$K57,'Emission Controls'!$A$20:$L$33,5,),1)*('Table 5-A| Primary MPTE'!H81*'Table 7-A| Primary APTE'!$C49/'Table 5-A| Primary MPTE'!$E81),0),'Table 6-B| Emission Limits'!F40)</f>
        <v>0</v>
      </c>
      <c r="G49" s="393">
        <f>IF('Table 6-B| Emission Limits'!G40=0,IFERROR(IFERROR(1-VLOOKUP('Table 6-A| Controls &amp; Limits'!$K57,'Emission Controls'!$A$20:$L$33,6,),1)*('Table 5-A| Primary MPTE'!I81*'Table 7-A| Primary APTE'!$C49/'Table 5-A| Primary MPTE'!$E81),0),'Table 6-B| Emission Limits'!G40)</f>
        <v>0</v>
      </c>
      <c r="H49" s="393">
        <f>IF('Table 6-B| Emission Limits'!H40=0,IFERROR(IFERROR(1-VLOOKUP('Table 6-A| Controls &amp; Limits'!$K57,'Emission Controls'!$A$20:$L$33,7,),1)*('Table 5-A| Primary MPTE'!J81*'Table 7-A| Primary APTE'!$C49/'Table 5-A| Primary MPTE'!$E81),0),'Table 6-B| Emission Limits'!H40)</f>
        <v>0</v>
      </c>
      <c r="I49" s="393">
        <f>IF('Table 6-B| Emission Limits'!I40=0,IFERROR(IFERROR(1-VLOOKUP('Table 6-A| Controls &amp; Limits'!$K57,'Emission Controls'!$A$20:$L$33,8,),1)*('Table 5-A| Primary MPTE'!K81*'Table 7-A| Primary APTE'!$C49/'Table 5-A| Primary MPTE'!$E81),0),'Table 6-B| Emission Limits'!I40)</f>
        <v>0</v>
      </c>
      <c r="J49" s="393">
        <f>IF('Table 6-B| Emission Limits'!J40=0,IFERROR(IFERROR(1-VLOOKUP('Table 6-A| Controls &amp; Limits'!$K57,'Emission Controls'!$A$20:$L$33,9,),1)*('Table 5-A| Primary MPTE'!L81*'Table 7-A| Primary APTE'!$C49/'Table 5-A| Primary MPTE'!$E81),0),'Table 6-B| Emission Limits'!J40)</f>
        <v>0</v>
      </c>
      <c r="K49" s="393">
        <f>IF('Table 6-B| Emission Limits'!K40=0,IFERROR(IFERROR(1-VLOOKUP('Table 6-A| Controls &amp; Limits'!$K57,'Emission Controls'!$A$20:$L$33,10,),1)*('Table 5-A| Primary MPTE'!M81*'Table 7-A| Primary APTE'!$C49/'Table 5-A| Primary MPTE'!$E81),0),'Table 6-B| Emission Limits'!K40)</f>
        <v>0</v>
      </c>
      <c r="L49" s="393">
        <f>IF('Table 6-B| Emission Limits'!L40=0,IFERROR(IFERROR(1-VLOOKUP('Table 6-A| Controls &amp; Limits'!$K57,'Emission Controls'!$A$20:$L$33,11,),1)*('Table 5-A| Primary MPTE'!N81*'Table 7-A| Primary APTE'!$C49/'Table 5-A| Primary MPTE'!$E81),0),'Table 6-B| Emission Limits'!L40)</f>
        <v>0</v>
      </c>
      <c r="M49" s="394">
        <f>IF('Table 6-B| Emission Limits'!M40=0,IFERROR(IFERROR(1-VLOOKUP('Table 6-A| Controls &amp; Limits'!$K57,'Emission Controls'!$A$20:$L$33,12,),1)*('Table 5-A| Primary MPTE'!O81*'Table 7-A| Primary APTE'!$C49/'Table 5-A| Primary MPTE'!$E81),0),'Table 6-B| Emission Limits'!M40)</f>
        <v>0</v>
      </c>
      <c r="S49" s="587"/>
      <c r="T49" s="585"/>
      <c r="U49" s="585"/>
      <c r="V49" s="585"/>
      <c r="W49" s="585"/>
      <c r="X49" s="585"/>
      <c r="Y49" s="585"/>
      <c r="Z49" s="585"/>
      <c r="AA49" s="588"/>
      <c r="AC49" s="587"/>
      <c r="AD49" s="585"/>
      <c r="AE49" s="585"/>
      <c r="AF49" s="585"/>
      <c r="AG49" s="585"/>
      <c r="AH49" s="585"/>
      <c r="AI49" s="585"/>
      <c r="AJ49" s="585"/>
      <c r="AK49" s="588"/>
      <c r="AM49" s="66">
        <v>20200253</v>
      </c>
      <c r="AN49" s="68" t="s">
        <v>2131</v>
      </c>
      <c r="AO49" s="762">
        <v>19.8</v>
      </c>
      <c r="AP49" s="762">
        <v>19.8</v>
      </c>
      <c r="AQ49" s="762">
        <v>2315.4</v>
      </c>
      <c r="AR49" s="762">
        <v>0.6</v>
      </c>
      <c r="AS49" s="762">
        <v>30.19</v>
      </c>
      <c r="AT49" s="762">
        <v>3794.4</v>
      </c>
      <c r="AU49" s="762">
        <v>118065</v>
      </c>
      <c r="AV49" s="629">
        <v>0</v>
      </c>
      <c r="AW49" s="629">
        <v>33.01</v>
      </c>
      <c r="AX49" s="756" t="s">
        <v>1505</v>
      </c>
      <c r="AY49" s="781">
        <v>1020</v>
      </c>
      <c r="BA49" s="66"/>
      <c r="BB49" s="68"/>
      <c r="BH49" s="130"/>
      <c r="BI49" s="130"/>
      <c r="BJ49" s="130"/>
      <c r="BK49" s="130"/>
      <c r="BL49" s="130"/>
      <c r="BM49" s="130"/>
      <c r="BN49" s="130"/>
      <c r="BO49" s="130"/>
      <c r="BP49" s="130"/>
      <c r="BQ49" s="130"/>
      <c r="BR49" s="130"/>
    </row>
    <row r="50" spans="1:70" ht="18" customHeight="1" x14ac:dyDescent="0.25">
      <c r="A50" s="302">
        <f>'Table 5-A| Primary MPTE'!A82</f>
        <v>0</v>
      </c>
      <c r="B50" s="303">
        <f>'Table 5-A| Primary MPTE'!B82</f>
        <v>0</v>
      </c>
      <c r="C50" s="305">
        <f>IFERROR(IF('Table 6-A| Controls &amp; Limits'!C58="Yes",'Table 6-A| Controls &amp; Limits'!E58,'Table 6-A| Controls &amp; Limits'!D58),0)</f>
        <v>0</v>
      </c>
      <c r="D50" s="391">
        <f>'Table 5-A| Primary MPTE'!D82</f>
        <v>0</v>
      </c>
      <c r="E50" s="392">
        <f>IF('Table 6-B| Emission Limits'!E41=0,IFERROR(IFERROR(1-VLOOKUP('Table 6-A| Controls &amp; Limits'!$K58,'Emission Controls'!$A$20:$L$33,4,),1)*('Table 5-A| Primary MPTE'!G82*'Table 7-A| Primary APTE'!$C50/'Table 5-A| Primary MPTE'!$E82),0),'Table 6-B| Emission Limits'!E41)</f>
        <v>0</v>
      </c>
      <c r="F50" s="393">
        <f>IF('Table 6-B| Emission Limits'!F41=0,IFERROR(IFERROR(1-VLOOKUP('Table 6-A| Controls &amp; Limits'!$K58,'Emission Controls'!$A$20:$L$33,5,),1)*('Table 5-A| Primary MPTE'!H82*'Table 7-A| Primary APTE'!$C50/'Table 5-A| Primary MPTE'!$E82),0),'Table 6-B| Emission Limits'!F41)</f>
        <v>0</v>
      </c>
      <c r="G50" s="393">
        <f>IF('Table 6-B| Emission Limits'!G41=0,IFERROR(IFERROR(1-VLOOKUP('Table 6-A| Controls &amp; Limits'!$K58,'Emission Controls'!$A$20:$L$33,6,),1)*('Table 5-A| Primary MPTE'!I82*'Table 7-A| Primary APTE'!$C50/'Table 5-A| Primary MPTE'!$E82),0),'Table 6-B| Emission Limits'!G41)</f>
        <v>0</v>
      </c>
      <c r="H50" s="393">
        <f>IF('Table 6-B| Emission Limits'!H41=0,IFERROR(IFERROR(1-VLOOKUP('Table 6-A| Controls &amp; Limits'!$K58,'Emission Controls'!$A$20:$L$33,7,),1)*('Table 5-A| Primary MPTE'!J82*'Table 7-A| Primary APTE'!$C50/'Table 5-A| Primary MPTE'!$E82),0),'Table 6-B| Emission Limits'!H41)</f>
        <v>0</v>
      </c>
      <c r="I50" s="393">
        <f>IF('Table 6-B| Emission Limits'!I41=0,IFERROR(IFERROR(1-VLOOKUP('Table 6-A| Controls &amp; Limits'!$K58,'Emission Controls'!$A$20:$L$33,8,),1)*('Table 5-A| Primary MPTE'!K82*'Table 7-A| Primary APTE'!$C50/'Table 5-A| Primary MPTE'!$E82),0),'Table 6-B| Emission Limits'!I41)</f>
        <v>0</v>
      </c>
      <c r="J50" s="393">
        <f>IF('Table 6-B| Emission Limits'!J41=0,IFERROR(IFERROR(1-VLOOKUP('Table 6-A| Controls &amp; Limits'!$K58,'Emission Controls'!$A$20:$L$33,9,),1)*('Table 5-A| Primary MPTE'!L82*'Table 7-A| Primary APTE'!$C50/'Table 5-A| Primary MPTE'!$E82),0),'Table 6-B| Emission Limits'!J41)</f>
        <v>0</v>
      </c>
      <c r="K50" s="393">
        <f>IF('Table 6-B| Emission Limits'!K41=0,IFERROR(IFERROR(1-VLOOKUP('Table 6-A| Controls &amp; Limits'!$K58,'Emission Controls'!$A$20:$L$33,10,),1)*('Table 5-A| Primary MPTE'!M82*'Table 7-A| Primary APTE'!$C50/'Table 5-A| Primary MPTE'!$E82),0),'Table 6-B| Emission Limits'!K41)</f>
        <v>0</v>
      </c>
      <c r="L50" s="393">
        <f>IF('Table 6-B| Emission Limits'!L41=0,IFERROR(IFERROR(1-VLOOKUP('Table 6-A| Controls &amp; Limits'!$K58,'Emission Controls'!$A$20:$L$33,11,),1)*('Table 5-A| Primary MPTE'!N82*'Table 7-A| Primary APTE'!$C50/'Table 5-A| Primary MPTE'!$E82),0),'Table 6-B| Emission Limits'!L41)</f>
        <v>0</v>
      </c>
      <c r="M50" s="394">
        <f>IF('Table 6-B| Emission Limits'!M41=0,IFERROR(IFERROR(1-VLOOKUP('Table 6-A| Controls &amp; Limits'!$K58,'Emission Controls'!$A$20:$L$33,12,),1)*('Table 5-A| Primary MPTE'!O82*'Table 7-A| Primary APTE'!$C50/'Table 5-A| Primary MPTE'!$E82),0),'Table 6-B| Emission Limits'!M41)</f>
        <v>0</v>
      </c>
      <c r="S50" s="587"/>
      <c r="T50" s="585"/>
      <c r="U50" s="585"/>
      <c r="V50" s="585"/>
      <c r="W50" s="585"/>
      <c r="X50" s="585"/>
      <c r="Y50" s="585"/>
      <c r="Z50" s="585"/>
      <c r="AA50" s="588"/>
      <c r="AC50" s="587"/>
      <c r="AD50" s="585"/>
      <c r="AE50" s="585"/>
      <c r="AF50" s="585"/>
      <c r="AG50" s="585"/>
      <c r="AH50" s="585"/>
      <c r="AI50" s="585"/>
      <c r="AJ50" s="585"/>
      <c r="AK50" s="588"/>
      <c r="AM50" s="66">
        <v>20200254</v>
      </c>
      <c r="AN50" s="68" t="s">
        <v>2132</v>
      </c>
      <c r="AO50" s="762">
        <v>10.19</v>
      </c>
      <c r="AP50" s="762">
        <v>10.19</v>
      </c>
      <c r="AQ50" s="762">
        <v>4161.6000000000004</v>
      </c>
      <c r="AR50" s="762">
        <v>0.6</v>
      </c>
      <c r="AS50" s="762">
        <v>120.36</v>
      </c>
      <c r="AT50" s="762">
        <v>568.14</v>
      </c>
      <c r="AU50" s="762">
        <v>144075</v>
      </c>
      <c r="AV50" s="629">
        <v>0</v>
      </c>
      <c r="AW50" s="629">
        <v>73.63</v>
      </c>
      <c r="AX50" s="756" t="s">
        <v>1505</v>
      </c>
      <c r="AY50" s="781">
        <v>1020</v>
      </c>
      <c r="BA50" s="66"/>
      <c r="BB50" s="68"/>
      <c r="BH50" s="130"/>
      <c r="BI50" s="130"/>
      <c r="BJ50" s="130"/>
      <c r="BK50" s="130"/>
      <c r="BL50" s="130"/>
      <c r="BM50" s="130"/>
      <c r="BN50" s="130"/>
      <c r="BO50" s="130"/>
      <c r="BP50" s="130"/>
      <c r="BQ50" s="130"/>
      <c r="BR50" s="130"/>
    </row>
    <row r="51" spans="1:70" ht="18" customHeight="1" x14ac:dyDescent="0.25">
      <c r="A51" s="630">
        <f>'Table 5-A| Primary MPTE'!A83</f>
        <v>0</v>
      </c>
      <c r="B51" s="626">
        <f>'Table 5-A| Primary MPTE'!B83</f>
        <v>0</v>
      </c>
      <c r="C51" s="631">
        <f>IFERROR(IF('Table 6-A| Controls &amp; Limits'!C59="Yes",'Table 6-A| Controls &amp; Limits'!E59,'Table 6-A| Controls &amp; Limits'!D59),0)</f>
        <v>0</v>
      </c>
      <c r="D51" s="625">
        <f>'Table 5-A| Primary MPTE'!D83</f>
        <v>0</v>
      </c>
      <c r="E51" s="632">
        <f>IF('Table 6-B| Emission Limits'!E42=0,IFERROR(IFERROR(1-VLOOKUP('Table 6-A| Controls &amp; Limits'!$K59,'Emission Controls'!$A$20:$L$33,4,),1)*('Table 5-A| Primary MPTE'!G83*'Table 7-A| Primary APTE'!$C51/'Table 5-A| Primary MPTE'!$E83),0),'Table 6-B| Emission Limits'!E42)</f>
        <v>0</v>
      </c>
      <c r="F51" s="633">
        <f>IF('Table 6-B| Emission Limits'!F42=0,IFERROR(IFERROR(1-VLOOKUP('Table 6-A| Controls &amp; Limits'!$K59,'Emission Controls'!$A$20:$L$33,5,),1)*('Table 5-A| Primary MPTE'!H83*'Table 7-A| Primary APTE'!$C51/'Table 5-A| Primary MPTE'!$E83),0),'Table 6-B| Emission Limits'!F42)</f>
        <v>0</v>
      </c>
      <c r="G51" s="633">
        <f>IF('Table 6-B| Emission Limits'!G42=0,IFERROR(IFERROR(1-VLOOKUP('Table 6-A| Controls &amp; Limits'!$K59,'Emission Controls'!$A$20:$L$33,6,),1)*('Table 5-A| Primary MPTE'!I83*'Table 7-A| Primary APTE'!$C51/'Table 5-A| Primary MPTE'!$E83),0),'Table 6-B| Emission Limits'!G42)</f>
        <v>0</v>
      </c>
      <c r="H51" s="633">
        <f>IF('Table 6-B| Emission Limits'!H42=0,IFERROR(IFERROR(1-VLOOKUP('Table 6-A| Controls &amp; Limits'!$K59,'Emission Controls'!$A$20:$L$33,7,),1)*('Table 5-A| Primary MPTE'!J83*'Table 7-A| Primary APTE'!$C51/'Table 5-A| Primary MPTE'!$E83),0),'Table 6-B| Emission Limits'!H42)</f>
        <v>0</v>
      </c>
      <c r="I51" s="633">
        <f>IF('Table 6-B| Emission Limits'!I42=0,IFERROR(IFERROR(1-VLOOKUP('Table 6-A| Controls &amp; Limits'!$K59,'Emission Controls'!$A$20:$L$33,8,),1)*('Table 5-A| Primary MPTE'!K83*'Table 7-A| Primary APTE'!$C51/'Table 5-A| Primary MPTE'!$E83),0),'Table 6-B| Emission Limits'!I42)</f>
        <v>0</v>
      </c>
      <c r="J51" s="633">
        <f>IF('Table 6-B| Emission Limits'!J42=0,IFERROR(IFERROR(1-VLOOKUP('Table 6-A| Controls &amp; Limits'!$K59,'Emission Controls'!$A$20:$L$33,9,),1)*('Table 5-A| Primary MPTE'!L83*'Table 7-A| Primary APTE'!$C51/'Table 5-A| Primary MPTE'!$E83),0),'Table 6-B| Emission Limits'!J42)</f>
        <v>0</v>
      </c>
      <c r="K51" s="633">
        <f>IF('Table 6-B| Emission Limits'!K42=0,IFERROR(IFERROR(1-VLOOKUP('Table 6-A| Controls &amp; Limits'!$K59,'Emission Controls'!$A$20:$L$33,10,),1)*('Table 5-A| Primary MPTE'!M83*'Table 7-A| Primary APTE'!$C51/'Table 5-A| Primary MPTE'!$E83),0),'Table 6-B| Emission Limits'!K42)</f>
        <v>0</v>
      </c>
      <c r="L51" s="633">
        <f>IF('Table 6-B| Emission Limits'!L42=0,IFERROR(IFERROR(1-VLOOKUP('Table 6-A| Controls &amp; Limits'!$K59,'Emission Controls'!$A$20:$L$33,11,),1)*('Table 5-A| Primary MPTE'!N83*'Table 7-A| Primary APTE'!$C51/'Table 5-A| Primary MPTE'!$E83),0),'Table 6-B| Emission Limits'!L42)</f>
        <v>0</v>
      </c>
      <c r="M51" s="634">
        <f>IF('Table 6-B| Emission Limits'!M42=0,IFERROR(IFERROR(1-VLOOKUP('Table 6-A| Controls &amp; Limits'!$K59,'Emission Controls'!$A$20:$L$33,12,),1)*('Table 5-A| Primary MPTE'!O83*'Table 7-A| Primary APTE'!$C51/'Table 5-A| Primary MPTE'!$E83),0),'Table 6-B| Emission Limits'!M42)</f>
        <v>0</v>
      </c>
      <c r="S51" s="589"/>
      <c r="T51" s="590"/>
      <c r="U51" s="590"/>
      <c r="V51" s="585"/>
      <c r="W51" s="585"/>
      <c r="X51" s="585"/>
      <c r="Y51" s="585"/>
      <c r="Z51" s="585"/>
      <c r="AA51" s="588"/>
      <c r="AC51" s="587"/>
      <c r="AD51" s="585"/>
      <c r="AE51" s="585"/>
      <c r="AF51" s="585"/>
      <c r="AG51" s="585"/>
      <c r="AH51" s="585"/>
      <c r="AI51" s="585"/>
      <c r="AJ51" s="585"/>
      <c r="AK51" s="588"/>
      <c r="AM51" s="66">
        <v>20200301</v>
      </c>
      <c r="AN51" s="68" t="s">
        <v>2133</v>
      </c>
      <c r="AO51" s="762">
        <v>12.6</v>
      </c>
      <c r="AP51" s="762">
        <v>12.6</v>
      </c>
      <c r="AQ51" s="762">
        <v>205</v>
      </c>
      <c r="AR51" s="762">
        <v>10.6</v>
      </c>
      <c r="AS51" s="762">
        <v>382</v>
      </c>
      <c r="AT51" s="762">
        <v>7900</v>
      </c>
      <c r="AU51" s="762">
        <v>19500</v>
      </c>
      <c r="AV51" s="629">
        <v>0</v>
      </c>
      <c r="AW51" s="629">
        <v>0.01</v>
      </c>
      <c r="AX51" s="756" t="s">
        <v>1506</v>
      </c>
      <c r="AY51" s="781">
        <v>125</v>
      </c>
      <c r="BA51" s="66"/>
      <c r="BB51" s="68"/>
      <c r="BH51" s="130"/>
      <c r="BI51" s="130"/>
      <c r="BJ51" s="130"/>
      <c r="BK51" s="130"/>
      <c r="BL51" s="130"/>
      <c r="BM51" s="130"/>
      <c r="BN51" s="130"/>
      <c r="BO51" s="130"/>
      <c r="BP51" s="130"/>
      <c r="BQ51" s="130"/>
      <c r="BR51" s="130"/>
    </row>
    <row r="52" spans="1:70" ht="18" customHeight="1" x14ac:dyDescent="0.25">
      <c r="A52" s="302">
        <f>'Table 5-A| Primary MPTE'!A84</f>
        <v>0</v>
      </c>
      <c r="B52" s="303">
        <f>'Table 5-A| Primary MPTE'!B84</f>
        <v>0</v>
      </c>
      <c r="C52" s="305">
        <f>IFERROR(IF('Table 6-A| Controls &amp; Limits'!C60="Yes",'Table 6-A| Controls &amp; Limits'!E60,'Table 6-A| Controls &amp; Limits'!D60),0)</f>
        <v>0</v>
      </c>
      <c r="D52" s="391">
        <f>'Table 5-A| Primary MPTE'!D84</f>
        <v>0</v>
      </c>
      <c r="E52" s="392">
        <f>IF('Table 6-B| Emission Limits'!E43=0,IFERROR(IFERROR(1-VLOOKUP('Table 6-A| Controls &amp; Limits'!$K60,'Emission Controls'!$A$20:$L$33,4,),1)*('Table 5-A| Primary MPTE'!G84*'Table 7-A| Primary APTE'!$C52/'Table 5-A| Primary MPTE'!$E84),0),'Table 6-B| Emission Limits'!E43)</f>
        <v>0</v>
      </c>
      <c r="F52" s="393">
        <f>IF('Table 6-B| Emission Limits'!F43=0,IFERROR(IFERROR(1-VLOOKUP('Table 6-A| Controls &amp; Limits'!$K60,'Emission Controls'!$A$20:$L$33,5,),1)*('Table 5-A| Primary MPTE'!H84*'Table 7-A| Primary APTE'!$C52/'Table 5-A| Primary MPTE'!$E84),0),'Table 6-B| Emission Limits'!F43)</f>
        <v>0</v>
      </c>
      <c r="G52" s="393">
        <f>IF('Table 6-B| Emission Limits'!G43=0,IFERROR(IFERROR(1-VLOOKUP('Table 6-A| Controls &amp; Limits'!$K60,'Emission Controls'!$A$20:$L$33,6,),1)*('Table 5-A| Primary MPTE'!I84*'Table 7-A| Primary APTE'!$C52/'Table 5-A| Primary MPTE'!$E84),0),'Table 6-B| Emission Limits'!G43)</f>
        <v>0</v>
      </c>
      <c r="H52" s="393">
        <f>IF('Table 6-B| Emission Limits'!H43=0,IFERROR(IFERROR(1-VLOOKUP('Table 6-A| Controls &amp; Limits'!$K60,'Emission Controls'!$A$20:$L$33,7,),1)*('Table 5-A| Primary MPTE'!J84*'Table 7-A| Primary APTE'!$C52/'Table 5-A| Primary MPTE'!$E84),0),'Table 6-B| Emission Limits'!H43)</f>
        <v>0</v>
      </c>
      <c r="I52" s="393">
        <f>IF('Table 6-B| Emission Limits'!I43=0,IFERROR(IFERROR(1-VLOOKUP('Table 6-A| Controls &amp; Limits'!$K60,'Emission Controls'!$A$20:$L$33,8,),1)*('Table 5-A| Primary MPTE'!K84*'Table 7-A| Primary APTE'!$C52/'Table 5-A| Primary MPTE'!$E84),0),'Table 6-B| Emission Limits'!I43)</f>
        <v>0</v>
      </c>
      <c r="J52" s="393">
        <f>IF('Table 6-B| Emission Limits'!J43=0,IFERROR(IFERROR(1-VLOOKUP('Table 6-A| Controls &amp; Limits'!$K60,'Emission Controls'!$A$20:$L$33,9,),1)*('Table 5-A| Primary MPTE'!L84*'Table 7-A| Primary APTE'!$C52/'Table 5-A| Primary MPTE'!$E84),0),'Table 6-B| Emission Limits'!J43)</f>
        <v>0</v>
      </c>
      <c r="K52" s="393">
        <f>IF('Table 6-B| Emission Limits'!K43=0,IFERROR(IFERROR(1-VLOOKUP('Table 6-A| Controls &amp; Limits'!$K60,'Emission Controls'!$A$20:$L$33,10,),1)*('Table 5-A| Primary MPTE'!M84*'Table 7-A| Primary APTE'!$C52/'Table 5-A| Primary MPTE'!$E84),0),'Table 6-B| Emission Limits'!K43)</f>
        <v>0</v>
      </c>
      <c r="L52" s="393">
        <f>IF('Table 6-B| Emission Limits'!L43=0,IFERROR(IFERROR(1-VLOOKUP('Table 6-A| Controls &amp; Limits'!$K60,'Emission Controls'!$A$20:$L$33,11,),1)*('Table 5-A| Primary MPTE'!N84*'Table 7-A| Primary APTE'!$C52/'Table 5-A| Primary MPTE'!$E84),0),'Table 6-B| Emission Limits'!L43)</f>
        <v>0</v>
      </c>
      <c r="M52" s="394">
        <f>IF('Table 6-B| Emission Limits'!M43=0,IFERROR(IFERROR(1-VLOOKUP('Table 6-A| Controls &amp; Limits'!$K60,'Emission Controls'!$A$20:$L$33,12,),1)*('Table 5-A| Primary MPTE'!O84*'Table 7-A| Primary APTE'!$C52/'Table 5-A| Primary MPTE'!$E84),0),'Table 6-B| Emission Limits'!M43)</f>
        <v>0</v>
      </c>
      <c r="S52" s="587"/>
      <c r="T52" s="585"/>
      <c r="U52" s="585"/>
      <c r="V52" s="585"/>
      <c r="W52" s="585"/>
      <c r="X52" s="585"/>
      <c r="Y52" s="585"/>
      <c r="Z52" s="585"/>
      <c r="AA52" s="588"/>
      <c r="AC52" s="587"/>
      <c r="AD52" s="585"/>
      <c r="AE52" s="585"/>
      <c r="AF52" s="585"/>
      <c r="AG52" s="585"/>
      <c r="AH52" s="585"/>
      <c r="AI52" s="585"/>
      <c r="AJ52" s="585"/>
      <c r="AK52" s="588"/>
      <c r="AM52" s="66">
        <v>20200401</v>
      </c>
      <c r="AN52" s="68" t="s">
        <v>2129</v>
      </c>
      <c r="AO52" s="762">
        <v>7.85</v>
      </c>
      <c r="AP52" s="762">
        <v>7.55</v>
      </c>
      <c r="AQ52" s="762">
        <v>438</v>
      </c>
      <c r="AR52" s="762">
        <v>6.9</v>
      </c>
      <c r="AS52" s="762">
        <v>11.5</v>
      </c>
      <c r="AT52" s="762">
        <v>116</v>
      </c>
      <c r="AU52" s="762">
        <v>22627.75</v>
      </c>
      <c r="AV52" s="629">
        <v>0</v>
      </c>
      <c r="AW52" s="629">
        <v>2.0509352100000003E-4</v>
      </c>
      <c r="AX52" s="756" t="s">
        <v>1506</v>
      </c>
      <c r="AY52" s="781">
        <v>139</v>
      </c>
      <c r="BA52" s="66"/>
      <c r="BB52" s="68"/>
      <c r="BH52" s="130"/>
      <c r="BI52" s="130"/>
      <c r="BJ52" s="130"/>
      <c r="BK52" s="130"/>
      <c r="BL52" s="130"/>
      <c r="BM52" s="130"/>
      <c r="BN52" s="130"/>
      <c r="BO52" s="130"/>
      <c r="BP52" s="130"/>
      <c r="BQ52" s="130"/>
      <c r="BR52" s="130"/>
    </row>
    <row r="53" spans="1:70" ht="18" customHeight="1" x14ac:dyDescent="0.25">
      <c r="A53" s="302">
        <f>'Table 5-A| Primary MPTE'!A85</f>
        <v>0</v>
      </c>
      <c r="B53" s="303">
        <f>'Table 5-A| Primary MPTE'!B85</f>
        <v>0</v>
      </c>
      <c r="C53" s="305">
        <f>IFERROR(IF('Table 6-A| Controls &amp; Limits'!C61="Yes",'Table 6-A| Controls &amp; Limits'!E61,'Table 6-A| Controls &amp; Limits'!D61),0)</f>
        <v>0</v>
      </c>
      <c r="D53" s="391">
        <f>'Table 5-A| Primary MPTE'!D85</f>
        <v>0</v>
      </c>
      <c r="E53" s="392">
        <f>IF('Table 6-B| Emission Limits'!E44=0,IFERROR(IFERROR(1-VLOOKUP('Table 6-A| Controls &amp; Limits'!$K61,'Emission Controls'!$A$20:$L$33,4,),1)*('Table 5-A| Primary MPTE'!G85*'Table 7-A| Primary APTE'!$C53/'Table 5-A| Primary MPTE'!$E85),0),'Table 6-B| Emission Limits'!E44)</f>
        <v>0</v>
      </c>
      <c r="F53" s="393">
        <f>IF('Table 6-B| Emission Limits'!F44=0,IFERROR(IFERROR(1-VLOOKUP('Table 6-A| Controls &amp; Limits'!$K61,'Emission Controls'!$A$20:$L$33,5,),1)*('Table 5-A| Primary MPTE'!H85*'Table 7-A| Primary APTE'!$C53/'Table 5-A| Primary MPTE'!$E85),0),'Table 6-B| Emission Limits'!F44)</f>
        <v>0</v>
      </c>
      <c r="G53" s="393">
        <f>IF('Table 6-B| Emission Limits'!G44=0,IFERROR(IFERROR(1-VLOOKUP('Table 6-A| Controls &amp; Limits'!$K61,'Emission Controls'!$A$20:$L$33,6,),1)*('Table 5-A| Primary MPTE'!I85*'Table 7-A| Primary APTE'!$C53/'Table 5-A| Primary MPTE'!$E85),0),'Table 6-B| Emission Limits'!G44)</f>
        <v>0</v>
      </c>
      <c r="H53" s="393">
        <f>IF('Table 6-B| Emission Limits'!H44=0,IFERROR(IFERROR(1-VLOOKUP('Table 6-A| Controls &amp; Limits'!$K61,'Emission Controls'!$A$20:$L$33,7,),1)*('Table 5-A| Primary MPTE'!J85*'Table 7-A| Primary APTE'!$C53/'Table 5-A| Primary MPTE'!$E85),0),'Table 6-B| Emission Limits'!H44)</f>
        <v>0</v>
      </c>
      <c r="I53" s="393">
        <f>IF('Table 6-B| Emission Limits'!I44=0,IFERROR(IFERROR(1-VLOOKUP('Table 6-A| Controls &amp; Limits'!$K61,'Emission Controls'!$A$20:$L$33,8,),1)*('Table 5-A| Primary MPTE'!K85*'Table 7-A| Primary APTE'!$C53/'Table 5-A| Primary MPTE'!$E85),0),'Table 6-B| Emission Limits'!I44)</f>
        <v>0</v>
      </c>
      <c r="J53" s="393">
        <f>IF('Table 6-B| Emission Limits'!J44=0,IFERROR(IFERROR(1-VLOOKUP('Table 6-A| Controls &amp; Limits'!$K61,'Emission Controls'!$A$20:$L$33,9,),1)*('Table 5-A| Primary MPTE'!L85*'Table 7-A| Primary APTE'!$C53/'Table 5-A| Primary MPTE'!$E85),0),'Table 6-B| Emission Limits'!J44)</f>
        <v>0</v>
      </c>
      <c r="K53" s="393">
        <f>IF('Table 6-B| Emission Limits'!K44=0,IFERROR(IFERROR(1-VLOOKUP('Table 6-A| Controls &amp; Limits'!$K61,'Emission Controls'!$A$20:$L$33,10,),1)*('Table 5-A| Primary MPTE'!M85*'Table 7-A| Primary APTE'!$C53/'Table 5-A| Primary MPTE'!$E85),0),'Table 6-B| Emission Limits'!K44)</f>
        <v>0</v>
      </c>
      <c r="L53" s="393">
        <f>IF('Table 6-B| Emission Limits'!L44=0,IFERROR(IFERROR(1-VLOOKUP('Table 6-A| Controls &amp; Limits'!$K61,'Emission Controls'!$A$20:$L$33,11,),1)*('Table 5-A| Primary MPTE'!N85*'Table 7-A| Primary APTE'!$C53/'Table 5-A| Primary MPTE'!$E85),0),'Table 6-B| Emission Limits'!L44)</f>
        <v>0</v>
      </c>
      <c r="M53" s="394">
        <f>IF('Table 6-B| Emission Limits'!M44=0,IFERROR(IFERROR(1-VLOOKUP('Table 6-A| Controls &amp; Limits'!$K61,'Emission Controls'!$A$20:$L$33,12,),1)*('Table 5-A| Primary MPTE'!O85*'Table 7-A| Primary APTE'!$C53/'Table 5-A| Primary MPTE'!$E85),0),'Table 6-B| Emission Limits'!M44)</f>
        <v>0</v>
      </c>
      <c r="S53" s="636"/>
      <c r="T53" s="637"/>
      <c r="U53" s="637"/>
      <c r="V53" s="637"/>
      <c r="W53" s="637"/>
      <c r="X53" s="637"/>
      <c r="Y53" s="637"/>
      <c r="Z53" s="637"/>
      <c r="AA53" s="638"/>
      <c r="AC53" s="636"/>
      <c r="AD53" s="637"/>
      <c r="AE53" s="637"/>
      <c r="AF53" s="637"/>
      <c r="AG53" s="637"/>
      <c r="AH53" s="637"/>
      <c r="AI53" s="637"/>
      <c r="AJ53" s="637"/>
      <c r="AK53" s="638"/>
      <c r="AM53" s="66">
        <v>20300102</v>
      </c>
      <c r="AN53" s="68" t="s">
        <v>2286</v>
      </c>
      <c r="AO53" s="762">
        <v>1.5289999999999999</v>
      </c>
      <c r="AP53" s="762">
        <v>1.5289999999999999</v>
      </c>
      <c r="AQ53" s="762">
        <v>122.32000000000001</v>
      </c>
      <c r="AR53" s="762">
        <v>7.0889999999999995</v>
      </c>
      <c r="AS53" s="762">
        <v>5.6989999999999999E-2</v>
      </c>
      <c r="AT53" s="762">
        <v>0.4587</v>
      </c>
      <c r="AU53" s="762">
        <v>21823</v>
      </c>
      <c r="AV53" s="629">
        <v>1.946E-3</v>
      </c>
      <c r="AW53" s="629">
        <v>0.17931</v>
      </c>
      <c r="AX53" s="756" t="s">
        <v>1506</v>
      </c>
      <c r="AY53" s="781">
        <v>139</v>
      </c>
      <c r="BH53" s="130"/>
      <c r="BI53" s="130"/>
      <c r="BJ53" s="130"/>
      <c r="BK53" s="130"/>
      <c r="BL53" s="130"/>
      <c r="BM53" s="130"/>
      <c r="BN53" s="130"/>
      <c r="BO53" s="130"/>
      <c r="BP53" s="130"/>
      <c r="BQ53" s="130"/>
      <c r="BR53" s="130"/>
    </row>
    <row r="54" spans="1:70" ht="18" customHeight="1" x14ac:dyDescent="0.25">
      <c r="A54" s="630">
        <f>'Table 5-A| Primary MPTE'!A86</f>
        <v>0</v>
      </c>
      <c r="B54" s="626">
        <f>'Table 5-A| Primary MPTE'!B86</f>
        <v>0</v>
      </c>
      <c r="C54" s="631">
        <f>IFERROR(IF('Table 6-A| Controls &amp; Limits'!C62="Yes",'Table 6-A| Controls &amp; Limits'!E62,'Table 6-A| Controls &amp; Limits'!D62),0)</f>
        <v>0</v>
      </c>
      <c r="D54" s="625">
        <f>'Table 5-A| Primary MPTE'!D86</f>
        <v>0</v>
      </c>
      <c r="E54" s="632">
        <f>IF('Table 6-B| Emission Limits'!E45=0,IFERROR(IFERROR(1-VLOOKUP('Table 6-A| Controls &amp; Limits'!$K62,'Emission Controls'!$A$20:$L$33,4,),1)*('Table 5-A| Primary MPTE'!G86*'Table 7-A| Primary APTE'!$C54/'Table 5-A| Primary MPTE'!$E86),0),'Table 6-B| Emission Limits'!E45)</f>
        <v>0</v>
      </c>
      <c r="F54" s="633">
        <f>IF('Table 6-B| Emission Limits'!F45=0,IFERROR(IFERROR(1-VLOOKUP('Table 6-A| Controls &amp; Limits'!$K62,'Emission Controls'!$A$20:$L$33,5,),1)*('Table 5-A| Primary MPTE'!H86*'Table 7-A| Primary APTE'!$C54/'Table 5-A| Primary MPTE'!$E86),0),'Table 6-B| Emission Limits'!F45)</f>
        <v>0</v>
      </c>
      <c r="G54" s="633">
        <f>IF('Table 6-B| Emission Limits'!G45=0,IFERROR(IFERROR(1-VLOOKUP('Table 6-A| Controls &amp; Limits'!$K62,'Emission Controls'!$A$20:$L$33,6,),1)*('Table 5-A| Primary MPTE'!I86*'Table 7-A| Primary APTE'!$C54/'Table 5-A| Primary MPTE'!$E86),0),'Table 6-B| Emission Limits'!G45)</f>
        <v>0</v>
      </c>
      <c r="H54" s="633">
        <f>IF('Table 6-B| Emission Limits'!H45=0,IFERROR(IFERROR(1-VLOOKUP('Table 6-A| Controls &amp; Limits'!$K62,'Emission Controls'!$A$20:$L$33,7,),1)*('Table 5-A| Primary MPTE'!J86*'Table 7-A| Primary APTE'!$C54/'Table 5-A| Primary MPTE'!$E86),0),'Table 6-B| Emission Limits'!H45)</f>
        <v>0</v>
      </c>
      <c r="I54" s="633">
        <f>IF('Table 6-B| Emission Limits'!I45=0,IFERROR(IFERROR(1-VLOOKUP('Table 6-A| Controls &amp; Limits'!$K62,'Emission Controls'!$A$20:$L$33,8,),1)*('Table 5-A| Primary MPTE'!K86*'Table 7-A| Primary APTE'!$C54/'Table 5-A| Primary MPTE'!$E86),0),'Table 6-B| Emission Limits'!I45)</f>
        <v>0</v>
      </c>
      <c r="J54" s="633">
        <f>IF('Table 6-B| Emission Limits'!J45=0,IFERROR(IFERROR(1-VLOOKUP('Table 6-A| Controls &amp; Limits'!$K62,'Emission Controls'!$A$20:$L$33,9,),1)*('Table 5-A| Primary MPTE'!L86*'Table 7-A| Primary APTE'!$C54/'Table 5-A| Primary MPTE'!$E86),0),'Table 6-B| Emission Limits'!J45)</f>
        <v>0</v>
      </c>
      <c r="K54" s="633">
        <f>IF('Table 6-B| Emission Limits'!K45=0,IFERROR(IFERROR(1-VLOOKUP('Table 6-A| Controls &amp; Limits'!$K62,'Emission Controls'!$A$20:$L$33,10,),1)*('Table 5-A| Primary MPTE'!M86*'Table 7-A| Primary APTE'!$C54/'Table 5-A| Primary MPTE'!$E86),0),'Table 6-B| Emission Limits'!K45)</f>
        <v>0</v>
      </c>
      <c r="L54" s="633">
        <f>IF('Table 6-B| Emission Limits'!L45=0,IFERROR(IFERROR(1-VLOOKUP('Table 6-A| Controls &amp; Limits'!$K62,'Emission Controls'!$A$20:$L$33,11,),1)*('Table 5-A| Primary MPTE'!N86*'Table 7-A| Primary APTE'!$C54/'Table 5-A| Primary MPTE'!$E86),0),'Table 6-B| Emission Limits'!L45)</f>
        <v>0</v>
      </c>
      <c r="M54" s="634">
        <f>IF('Table 6-B| Emission Limits'!M45=0,IFERROR(IFERROR(1-VLOOKUP('Table 6-A| Controls &amp; Limits'!$K62,'Emission Controls'!$A$20:$L$33,12,),1)*('Table 5-A| Primary MPTE'!O86*'Table 7-A| Primary APTE'!$C54/'Table 5-A| Primary MPTE'!$E86),0),'Table 6-B| Emission Limits'!M45)</f>
        <v>0</v>
      </c>
      <c r="S54" s="639"/>
      <c r="T54" s="640"/>
      <c r="U54" s="640"/>
      <c r="V54" s="640"/>
      <c r="W54" s="640"/>
      <c r="X54" s="640"/>
      <c r="Y54" s="640"/>
      <c r="Z54" s="640"/>
      <c r="AA54" s="641"/>
      <c r="AC54" s="639"/>
      <c r="AD54" s="640"/>
      <c r="AE54" s="640"/>
      <c r="AF54" s="640"/>
      <c r="AG54" s="640"/>
      <c r="AH54" s="640"/>
      <c r="AI54" s="640"/>
      <c r="AJ54" s="640"/>
      <c r="AK54" s="641"/>
      <c r="AM54" s="66">
        <v>20300202</v>
      </c>
      <c r="AN54" s="68" t="s">
        <v>2287</v>
      </c>
      <c r="AO54" s="762">
        <v>6.7320000000000002</v>
      </c>
      <c r="AP54" s="762">
        <v>1.9379999999999999</v>
      </c>
      <c r="AQ54" s="762">
        <v>326.40000000000003</v>
      </c>
      <c r="AR54" s="762">
        <v>0.59975999999999996</v>
      </c>
      <c r="AS54" s="762">
        <v>2.1419999999999999</v>
      </c>
      <c r="AT54" s="762">
        <v>83.64</v>
      </c>
      <c r="AU54" s="762">
        <v>112419.3</v>
      </c>
      <c r="AV54" s="629">
        <v>0</v>
      </c>
      <c r="AW54" s="629">
        <v>1.2954000000000001</v>
      </c>
      <c r="AX54" s="756" t="s">
        <v>1505</v>
      </c>
      <c r="AY54" s="781">
        <v>1020</v>
      </c>
      <c r="BH54" s="130"/>
      <c r="BI54" s="130"/>
      <c r="BJ54" s="130"/>
      <c r="BK54" s="130"/>
      <c r="BL54" s="130"/>
      <c r="BM54" s="130"/>
      <c r="BN54" s="130"/>
      <c r="BO54" s="130"/>
      <c r="BP54" s="130"/>
      <c r="BQ54" s="130"/>
      <c r="BR54" s="130"/>
    </row>
    <row r="55" spans="1:70" ht="18" customHeight="1" x14ac:dyDescent="0.25">
      <c r="A55" s="302">
        <f>'Table 5-A| Primary MPTE'!A87</f>
        <v>0</v>
      </c>
      <c r="B55" s="303">
        <f>'Table 5-A| Primary MPTE'!B87</f>
        <v>0</v>
      </c>
      <c r="C55" s="305">
        <f>IFERROR(IF('Table 6-A| Controls &amp; Limits'!C63="Yes",'Table 6-A| Controls &amp; Limits'!E63,'Table 6-A| Controls &amp; Limits'!D63),0)</f>
        <v>0</v>
      </c>
      <c r="D55" s="391">
        <f>'Table 5-A| Primary MPTE'!D87</f>
        <v>0</v>
      </c>
      <c r="E55" s="392">
        <f>IF('Table 6-B| Emission Limits'!E46=0,IFERROR(IFERROR(1-VLOOKUP('Table 6-A| Controls &amp; Limits'!$K63,'Emission Controls'!$A$20:$L$33,4,),1)*('Table 5-A| Primary MPTE'!G87*'Table 7-A| Primary APTE'!$C55/'Table 5-A| Primary MPTE'!$E87),0),'Table 6-B| Emission Limits'!E46)</f>
        <v>0</v>
      </c>
      <c r="F55" s="393">
        <f>IF('Table 6-B| Emission Limits'!F46=0,IFERROR(IFERROR(1-VLOOKUP('Table 6-A| Controls &amp; Limits'!$K63,'Emission Controls'!$A$20:$L$33,5,),1)*('Table 5-A| Primary MPTE'!H87*'Table 7-A| Primary APTE'!$C55/'Table 5-A| Primary MPTE'!$E87),0),'Table 6-B| Emission Limits'!F46)</f>
        <v>0</v>
      </c>
      <c r="G55" s="393">
        <f>IF('Table 6-B| Emission Limits'!G46=0,IFERROR(IFERROR(1-VLOOKUP('Table 6-A| Controls &amp; Limits'!$K63,'Emission Controls'!$A$20:$L$33,6,),1)*('Table 5-A| Primary MPTE'!I87*'Table 7-A| Primary APTE'!$C55/'Table 5-A| Primary MPTE'!$E87),0),'Table 6-B| Emission Limits'!G46)</f>
        <v>0</v>
      </c>
      <c r="H55" s="393">
        <f>IF('Table 6-B| Emission Limits'!H46=0,IFERROR(IFERROR(1-VLOOKUP('Table 6-A| Controls &amp; Limits'!$K63,'Emission Controls'!$A$20:$L$33,7,),1)*('Table 5-A| Primary MPTE'!J87*'Table 7-A| Primary APTE'!$C55/'Table 5-A| Primary MPTE'!$E87),0),'Table 6-B| Emission Limits'!H46)</f>
        <v>0</v>
      </c>
      <c r="I55" s="393">
        <f>IF('Table 6-B| Emission Limits'!I46=0,IFERROR(IFERROR(1-VLOOKUP('Table 6-A| Controls &amp; Limits'!$K63,'Emission Controls'!$A$20:$L$33,8,),1)*('Table 5-A| Primary MPTE'!K87*'Table 7-A| Primary APTE'!$C55/'Table 5-A| Primary MPTE'!$E87),0),'Table 6-B| Emission Limits'!I46)</f>
        <v>0</v>
      </c>
      <c r="J55" s="393">
        <f>IF('Table 6-B| Emission Limits'!J46=0,IFERROR(IFERROR(1-VLOOKUP('Table 6-A| Controls &amp; Limits'!$K63,'Emission Controls'!$A$20:$L$33,9,),1)*('Table 5-A| Primary MPTE'!L87*'Table 7-A| Primary APTE'!$C55/'Table 5-A| Primary MPTE'!$E87),0),'Table 6-B| Emission Limits'!J46)</f>
        <v>0</v>
      </c>
      <c r="K55" s="393">
        <f>IF('Table 6-B| Emission Limits'!K46=0,IFERROR(IFERROR(1-VLOOKUP('Table 6-A| Controls &amp; Limits'!$K63,'Emission Controls'!$A$20:$L$33,10,),1)*('Table 5-A| Primary MPTE'!M87*'Table 7-A| Primary APTE'!$C55/'Table 5-A| Primary MPTE'!$E87),0),'Table 6-B| Emission Limits'!K46)</f>
        <v>0</v>
      </c>
      <c r="L55" s="393">
        <f>IF('Table 6-B| Emission Limits'!L46=0,IFERROR(IFERROR(1-VLOOKUP('Table 6-A| Controls &amp; Limits'!$K63,'Emission Controls'!$A$20:$L$33,11,),1)*('Table 5-A| Primary MPTE'!N87*'Table 7-A| Primary APTE'!$C55/'Table 5-A| Primary MPTE'!$E87),0),'Table 6-B| Emission Limits'!L46)</f>
        <v>0</v>
      </c>
      <c r="M55" s="394">
        <f>IF('Table 6-B| Emission Limits'!M46=0,IFERROR(IFERROR(1-VLOOKUP('Table 6-A| Controls &amp; Limits'!$K63,'Emission Controls'!$A$20:$L$33,12,),1)*('Table 5-A| Primary MPTE'!O87*'Table 7-A| Primary APTE'!$C55/'Table 5-A| Primary MPTE'!$E87),0),'Table 6-B| Emission Limits'!M46)</f>
        <v>0</v>
      </c>
      <c r="S55" s="639"/>
      <c r="T55" s="640"/>
      <c r="U55" s="640"/>
      <c r="V55" s="640"/>
      <c r="W55" s="640"/>
      <c r="X55" s="640"/>
      <c r="Y55" s="640"/>
      <c r="Z55" s="640"/>
      <c r="AA55" s="641"/>
      <c r="AC55" s="639"/>
      <c r="AD55" s="640"/>
      <c r="AE55" s="640"/>
      <c r="AF55" s="640"/>
      <c r="AG55" s="640"/>
      <c r="AH55" s="640"/>
      <c r="AI55" s="640"/>
      <c r="AJ55" s="640"/>
      <c r="AK55" s="641"/>
      <c r="AM55" s="66">
        <v>38500101</v>
      </c>
      <c r="AN55" s="68" t="s">
        <v>2187</v>
      </c>
      <c r="AO55" s="762">
        <f>'Table 3-A| Emission Units'!$E$45*'Table 3-A| Emission Units'!$E$44</f>
        <v>0</v>
      </c>
      <c r="AP55" s="762">
        <v>0</v>
      </c>
      <c r="AQ55" s="762">
        <v>0</v>
      </c>
      <c r="AR55" s="762">
        <v>0</v>
      </c>
      <c r="AS55" s="762">
        <v>0</v>
      </c>
      <c r="AT55" s="762">
        <v>0</v>
      </c>
      <c r="AU55" s="762">
        <v>0</v>
      </c>
      <c r="AV55" s="629">
        <v>0</v>
      </c>
      <c r="AW55" s="629">
        <v>0</v>
      </c>
      <c r="AX55" s="756" t="s">
        <v>2331</v>
      </c>
      <c r="AY55" s="781"/>
      <c r="BH55" s="130"/>
      <c r="BI55" s="130"/>
      <c r="BJ55" s="130"/>
      <c r="BK55" s="130"/>
      <c r="BL55" s="130"/>
      <c r="BM55" s="130"/>
      <c r="BN55" s="130"/>
      <c r="BO55" s="130"/>
      <c r="BP55" s="130"/>
      <c r="BQ55" s="130"/>
      <c r="BR55" s="130"/>
    </row>
    <row r="56" spans="1:70" ht="18" customHeight="1" x14ac:dyDescent="0.25">
      <c r="A56" s="302">
        <f>'Table 5-A| Primary MPTE'!A88</f>
        <v>0</v>
      </c>
      <c r="B56" s="303">
        <f>'Table 5-A| Primary MPTE'!B88</f>
        <v>0</v>
      </c>
      <c r="C56" s="305">
        <f>IFERROR(IF('Table 6-A| Controls &amp; Limits'!C64="Yes",'Table 6-A| Controls &amp; Limits'!E64,'Table 6-A| Controls &amp; Limits'!D64),0)</f>
        <v>0</v>
      </c>
      <c r="D56" s="391">
        <f>'Table 5-A| Primary MPTE'!D88</f>
        <v>0</v>
      </c>
      <c r="E56" s="392">
        <f>IF('Table 6-B| Emission Limits'!E47=0,IFERROR(IFERROR(1-VLOOKUP('Table 6-A| Controls &amp; Limits'!$K64,'Emission Controls'!$A$20:$L$33,4,),1)*('Table 5-A| Primary MPTE'!G88*'Table 7-A| Primary APTE'!$C56/'Table 5-A| Primary MPTE'!$E88),0),'Table 6-B| Emission Limits'!E47)</f>
        <v>0</v>
      </c>
      <c r="F56" s="393">
        <f>IF('Table 6-B| Emission Limits'!F47=0,IFERROR(IFERROR(1-VLOOKUP('Table 6-A| Controls &amp; Limits'!$K64,'Emission Controls'!$A$20:$L$33,5,),1)*('Table 5-A| Primary MPTE'!H88*'Table 7-A| Primary APTE'!$C56/'Table 5-A| Primary MPTE'!$E88),0),'Table 6-B| Emission Limits'!F47)</f>
        <v>0</v>
      </c>
      <c r="G56" s="393">
        <f>IF('Table 6-B| Emission Limits'!G47=0,IFERROR(IFERROR(1-VLOOKUP('Table 6-A| Controls &amp; Limits'!$K64,'Emission Controls'!$A$20:$L$33,6,),1)*('Table 5-A| Primary MPTE'!I88*'Table 7-A| Primary APTE'!$C56/'Table 5-A| Primary MPTE'!$E88),0),'Table 6-B| Emission Limits'!G47)</f>
        <v>0</v>
      </c>
      <c r="H56" s="393">
        <f>IF('Table 6-B| Emission Limits'!H47=0,IFERROR(IFERROR(1-VLOOKUP('Table 6-A| Controls &amp; Limits'!$K64,'Emission Controls'!$A$20:$L$33,7,),1)*('Table 5-A| Primary MPTE'!J88*'Table 7-A| Primary APTE'!$C56/'Table 5-A| Primary MPTE'!$E88),0),'Table 6-B| Emission Limits'!H47)</f>
        <v>0</v>
      </c>
      <c r="I56" s="393">
        <f>IF('Table 6-B| Emission Limits'!I47=0,IFERROR(IFERROR(1-VLOOKUP('Table 6-A| Controls &amp; Limits'!$K64,'Emission Controls'!$A$20:$L$33,8,),1)*('Table 5-A| Primary MPTE'!K88*'Table 7-A| Primary APTE'!$C56/'Table 5-A| Primary MPTE'!$E88),0),'Table 6-B| Emission Limits'!I47)</f>
        <v>0</v>
      </c>
      <c r="J56" s="393">
        <f>IF('Table 6-B| Emission Limits'!J47=0,IFERROR(IFERROR(1-VLOOKUP('Table 6-A| Controls &amp; Limits'!$K64,'Emission Controls'!$A$20:$L$33,9,),1)*('Table 5-A| Primary MPTE'!L88*'Table 7-A| Primary APTE'!$C56/'Table 5-A| Primary MPTE'!$E88),0),'Table 6-B| Emission Limits'!J47)</f>
        <v>0</v>
      </c>
      <c r="K56" s="393">
        <f>IF('Table 6-B| Emission Limits'!K47=0,IFERROR(IFERROR(1-VLOOKUP('Table 6-A| Controls &amp; Limits'!$K64,'Emission Controls'!$A$20:$L$33,10,),1)*('Table 5-A| Primary MPTE'!M88*'Table 7-A| Primary APTE'!$C56/'Table 5-A| Primary MPTE'!$E88),0),'Table 6-B| Emission Limits'!K47)</f>
        <v>0</v>
      </c>
      <c r="L56" s="393">
        <f>IF('Table 6-B| Emission Limits'!L47=0,IFERROR(IFERROR(1-VLOOKUP('Table 6-A| Controls &amp; Limits'!$K64,'Emission Controls'!$A$20:$L$33,11,),1)*('Table 5-A| Primary MPTE'!N88*'Table 7-A| Primary APTE'!$C56/'Table 5-A| Primary MPTE'!$E88),0),'Table 6-B| Emission Limits'!L47)</f>
        <v>0</v>
      </c>
      <c r="M56" s="394">
        <f>IF('Table 6-B| Emission Limits'!M47=0,IFERROR(IFERROR(1-VLOOKUP('Table 6-A| Controls &amp; Limits'!$K64,'Emission Controls'!$A$20:$L$33,12,),1)*('Table 5-A| Primary MPTE'!O88*'Table 7-A| Primary APTE'!$C56/'Table 5-A| Primary MPTE'!$E88),0),'Table 6-B| Emission Limits'!M47)</f>
        <v>0</v>
      </c>
      <c r="S56" s="639"/>
      <c r="T56" s="640"/>
      <c r="U56" s="640"/>
      <c r="V56" s="640"/>
      <c r="W56" s="640"/>
      <c r="X56" s="640"/>
      <c r="Y56" s="640"/>
      <c r="Z56" s="640"/>
      <c r="AA56" s="641"/>
      <c r="AC56" s="639"/>
      <c r="AD56" s="640"/>
      <c r="AE56" s="640"/>
      <c r="AF56" s="640"/>
      <c r="AG56" s="640"/>
      <c r="AH56" s="640"/>
      <c r="AI56" s="640"/>
      <c r="AJ56" s="640"/>
      <c r="AK56" s="641"/>
      <c r="AM56" s="66"/>
      <c r="AN56" s="68"/>
      <c r="AO56" s="762"/>
      <c r="AP56" s="762"/>
      <c r="AQ56" s="762"/>
      <c r="AR56" s="762"/>
      <c r="AS56" s="762"/>
      <c r="AT56" s="762"/>
      <c r="AU56" s="762"/>
      <c r="AV56" s="629"/>
      <c r="AW56" s="629"/>
      <c r="AX56" s="756"/>
      <c r="AY56" s="781"/>
      <c r="BH56" s="130"/>
      <c r="BI56" s="130"/>
      <c r="BJ56" s="130"/>
      <c r="BK56" s="130"/>
      <c r="BL56" s="130"/>
      <c r="BM56" s="130"/>
      <c r="BN56" s="130"/>
      <c r="BO56" s="130"/>
      <c r="BP56" s="130"/>
      <c r="BQ56" s="130"/>
      <c r="BR56" s="130"/>
    </row>
    <row r="57" spans="1:70" ht="18" customHeight="1" x14ac:dyDescent="0.25">
      <c r="A57" s="630">
        <f>'Table 5-A| Primary MPTE'!A89</f>
        <v>0</v>
      </c>
      <c r="B57" s="626">
        <f>'Table 5-A| Primary MPTE'!B89</f>
        <v>0</v>
      </c>
      <c r="C57" s="631">
        <f>IFERROR(IF('Table 6-A| Controls &amp; Limits'!C65="Yes",'Table 6-A| Controls &amp; Limits'!E65,'Table 6-A| Controls &amp; Limits'!D65),0)</f>
        <v>0</v>
      </c>
      <c r="D57" s="625">
        <f>'Table 5-A| Primary MPTE'!D89</f>
        <v>0</v>
      </c>
      <c r="E57" s="632">
        <f>IF('Table 6-B| Emission Limits'!E48=0,IFERROR(IFERROR(1-VLOOKUP('Table 6-A| Controls &amp; Limits'!$K65,'Emission Controls'!$A$20:$L$33,4,),1)*('Table 5-A| Primary MPTE'!G89*'Table 7-A| Primary APTE'!$C57/'Table 5-A| Primary MPTE'!$E89),0),'Table 6-B| Emission Limits'!E48)</f>
        <v>0</v>
      </c>
      <c r="F57" s="633">
        <f>IF('Table 6-B| Emission Limits'!F48=0,IFERROR(IFERROR(1-VLOOKUP('Table 6-A| Controls &amp; Limits'!$K65,'Emission Controls'!$A$20:$L$33,5,),1)*('Table 5-A| Primary MPTE'!H89*'Table 7-A| Primary APTE'!$C57/'Table 5-A| Primary MPTE'!$E89),0),'Table 6-B| Emission Limits'!F48)</f>
        <v>0</v>
      </c>
      <c r="G57" s="633">
        <f>IF('Table 6-B| Emission Limits'!G48=0,IFERROR(IFERROR(1-VLOOKUP('Table 6-A| Controls &amp; Limits'!$K65,'Emission Controls'!$A$20:$L$33,6,),1)*('Table 5-A| Primary MPTE'!I89*'Table 7-A| Primary APTE'!$C57/'Table 5-A| Primary MPTE'!$E89),0),'Table 6-B| Emission Limits'!G48)</f>
        <v>0</v>
      </c>
      <c r="H57" s="633">
        <f>IF('Table 6-B| Emission Limits'!H48=0,IFERROR(IFERROR(1-VLOOKUP('Table 6-A| Controls &amp; Limits'!$K65,'Emission Controls'!$A$20:$L$33,7,),1)*('Table 5-A| Primary MPTE'!J89*'Table 7-A| Primary APTE'!$C57/'Table 5-A| Primary MPTE'!$E89),0),'Table 6-B| Emission Limits'!H48)</f>
        <v>0</v>
      </c>
      <c r="I57" s="633">
        <f>IF('Table 6-B| Emission Limits'!I48=0,IFERROR(IFERROR(1-VLOOKUP('Table 6-A| Controls &amp; Limits'!$K65,'Emission Controls'!$A$20:$L$33,8,),1)*('Table 5-A| Primary MPTE'!K89*'Table 7-A| Primary APTE'!$C57/'Table 5-A| Primary MPTE'!$E89),0),'Table 6-B| Emission Limits'!I48)</f>
        <v>0</v>
      </c>
      <c r="J57" s="633">
        <f>IF('Table 6-B| Emission Limits'!J48=0,IFERROR(IFERROR(1-VLOOKUP('Table 6-A| Controls &amp; Limits'!$K65,'Emission Controls'!$A$20:$L$33,9,),1)*('Table 5-A| Primary MPTE'!L89*'Table 7-A| Primary APTE'!$C57/'Table 5-A| Primary MPTE'!$E89),0),'Table 6-B| Emission Limits'!J48)</f>
        <v>0</v>
      </c>
      <c r="K57" s="633">
        <f>IF('Table 6-B| Emission Limits'!K48=0,IFERROR(IFERROR(1-VLOOKUP('Table 6-A| Controls &amp; Limits'!$K65,'Emission Controls'!$A$20:$L$33,10,),1)*('Table 5-A| Primary MPTE'!M89*'Table 7-A| Primary APTE'!$C57/'Table 5-A| Primary MPTE'!$E89),0),'Table 6-B| Emission Limits'!K48)</f>
        <v>0</v>
      </c>
      <c r="L57" s="633">
        <f>IF('Table 6-B| Emission Limits'!L48=0,IFERROR(IFERROR(1-VLOOKUP('Table 6-A| Controls &amp; Limits'!$K65,'Emission Controls'!$A$20:$L$33,11,),1)*('Table 5-A| Primary MPTE'!N89*'Table 7-A| Primary APTE'!$C57/'Table 5-A| Primary MPTE'!$E89),0),'Table 6-B| Emission Limits'!L48)</f>
        <v>0</v>
      </c>
      <c r="M57" s="634">
        <f>IF('Table 6-B| Emission Limits'!M48=0,IFERROR(IFERROR(1-VLOOKUP('Table 6-A| Controls &amp; Limits'!$K65,'Emission Controls'!$A$20:$L$33,12,),1)*('Table 5-A| Primary MPTE'!O89*'Table 7-A| Primary APTE'!$C57/'Table 5-A| Primary MPTE'!$E89),0),'Table 6-B| Emission Limits'!M48)</f>
        <v>0</v>
      </c>
      <c r="S57" s="639"/>
      <c r="T57" s="640"/>
      <c r="U57" s="640"/>
      <c r="V57" s="640"/>
      <c r="W57" s="640"/>
      <c r="X57" s="640"/>
      <c r="Y57" s="640"/>
      <c r="Z57" s="640"/>
      <c r="AA57" s="641"/>
      <c r="AC57" s="639"/>
      <c r="AD57" s="640"/>
      <c r="AE57" s="640"/>
      <c r="AF57" s="640"/>
      <c r="AG57" s="640"/>
      <c r="AH57" s="640"/>
      <c r="AI57" s="640"/>
      <c r="AJ57" s="640"/>
      <c r="AK57" s="641"/>
      <c r="AM57" s="66"/>
      <c r="AN57" s="68"/>
      <c r="AO57" s="762"/>
      <c r="AP57" s="762"/>
      <c r="AQ57" s="762"/>
      <c r="AR57" s="762"/>
      <c r="AS57" s="762"/>
      <c r="AT57" s="762"/>
      <c r="AU57" s="762"/>
      <c r="AV57" s="629"/>
      <c r="AW57" s="629"/>
      <c r="AX57" s="756"/>
      <c r="AY57" s="781"/>
    </row>
    <row r="58" spans="1:70" ht="18" customHeight="1" x14ac:dyDescent="0.25">
      <c r="A58" s="302">
        <f>'Table 5-A| Primary MPTE'!A90</f>
        <v>0</v>
      </c>
      <c r="B58" s="303">
        <f>'Table 5-A| Primary MPTE'!B90</f>
        <v>0</v>
      </c>
      <c r="C58" s="305">
        <f>IFERROR(IF('Table 6-A| Controls &amp; Limits'!C66="Yes",'Table 6-A| Controls &amp; Limits'!E66,'Table 6-A| Controls &amp; Limits'!D66),0)</f>
        <v>0</v>
      </c>
      <c r="D58" s="391">
        <f>'Table 5-A| Primary MPTE'!D90</f>
        <v>0</v>
      </c>
      <c r="E58" s="392">
        <f>IF('Table 6-B| Emission Limits'!E49=0,IFERROR(IFERROR(1-VLOOKUP('Table 6-A| Controls &amp; Limits'!$K66,'Emission Controls'!$A$20:$L$33,4,),1)*('Table 5-A| Primary MPTE'!G90*'Table 7-A| Primary APTE'!$C58/'Table 5-A| Primary MPTE'!$E90),0),'Table 6-B| Emission Limits'!E49)</f>
        <v>0</v>
      </c>
      <c r="F58" s="393">
        <f>IF('Table 6-B| Emission Limits'!F49=0,IFERROR(IFERROR(1-VLOOKUP('Table 6-A| Controls &amp; Limits'!$K66,'Emission Controls'!$A$20:$L$33,5,),1)*('Table 5-A| Primary MPTE'!H90*'Table 7-A| Primary APTE'!$C58/'Table 5-A| Primary MPTE'!$E90),0),'Table 6-B| Emission Limits'!F49)</f>
        <v>0</v>
      </c>
      <c r="G58" s="393">
        <f>IF('Table 6-B| Emission Limits'!G49=0,IFERROR(IFERROR(1-VLOOKUP('Table 6-A| Controls &amp; Limits'!$K66,'Emission Controls'!$A$20:$L$33,6,),1)*('Table 5-A| Primary MPTE'!I90*'Table 7-A| Primary APTE'!$C58/'Table 5-A| Primary MPTE'!$E90),0),'Table 6-B| Emission Limits'!G49)</f>
        <v>0</v>
      </c>
      <c r="H58" s="393">
        <f>IF('Table 6-B| Emission Limits'!H49=0,IFERROR(IFERROR(1-VLOOKUP('Table 6-A| Controls &amp; Limits'!$K66,'Emission Controls'!$A$20:$L$33,7,),1)*('Table 5-A| Primary MPTE'!J90*'Table 7-A| Primary APTE'!$C58/'Table 5-A| Primary MPTE'!$E90),0),'Table 6-B| Emission Limits'!H49)</f>
        <v>0</v>
      </c>
      <c r="I58" s="393">
        <f>IF('Table 6-B| Emission Limits'!I49=0,IFERROR(IFERROR(1-VLOOKUP('Table 6-A| Controls &amp; Limits'!$K66,'Emission Controls'!$A$20:$L$33,8,),1)*('Table 5-A| Primary MPTE'!K90*'Table 7-A| Primary APTE'!$C58/'Table 5-A| Primary MPTE'!$E90),0),'Table 6-B| Emission Limits'!I49)</f>
        <v>0</v>
      </c>
      <c r="J58" s="393">
        <f>IF('Table 6-B| Emission Limits'!J49=0,IFERROR(IFERROR(1-VLOOKUP('Table 6-A| Controls &amp; Limits'!$K66,'Emission Controls'!$A$20:$L$33,9,),1)*('Table 5-A| Primary MPTE'!L90*'Table 7-A| Primary APTE'!$C58/'Table 5-A| Primary MPTE'!$E90),0),'Table 6-B| Emission Limits'!J49)</f>
        <v>0</v>
      </c>
      <c r="K58" s="393">
        <f>IF('Table 6-B| Emission Limits'!K49=0,IFERROR(IFERROR(1-VLOOKUP('Table 6-A| Controls &amp; Limits'!$K66,'Emission Controls'!$A$20:$L$33,10,),1)*('Table 5-A| Primary MPTE'!M90*'Table 7-A| Primary APTE'!$C58/'Table 5-A| Primary MPTE'!$E90),0),'Table 6-B| Emission Limits'!K49)</f>
        <v>0</v>
      </c>
      <c r="L58" s="393">
        <f>IF('Table 6-B| Emission Limits'!L49=0,IFERROR(IFERROR(1-VLOOKUP('Table 6-A| Controls &amp; Limits'!$K66,'Emission Controls'!$A$20:$L$33,11,),1)*('Table 5-A| Primary MPTE'!N90*'Table 7-A| Primary APTE'!$C58/'Table 5-A| Primary MPTE'!$E90),0),'Table 6-B| Emission Limits'!L49)</f>
        <v>0</v>
      </c>
      <c r="M58" s="394">
        <f>IF('Table 6-B| Emission Limits'!M49=0,IFERROR(IFERROR(1-VLOOKUP('Table 6-A| Controls &amp; Limits'!$K66,'Emission Controls'!$A$20:$L$33,12,),1)*('Table 5-A| Primary MPTE'!O90*'Table 7-A| Primary APTE'!$C58/'Table 5-A| Primary MPTE'!$E90),0),'Table 6-B| Emission Limits'!M49)</f>
        <v>0</v>
      </c>
      <c r="S58" s="639"/>
      <c r="T58" s="640"/>
      <c r="U58" s="640"/>
      <c r="V58" s="640"/>
      <c r="W58" s="640"/>
      <c r="X58" s="640"/>
      <c r="Y58" s="640"/>
      <c r="Z58" s="640"/>
      <c r="AA58" s="641"/>
      <c r="AC58" s="639"/>
      <c r="AD58" s="640"/>
      <c r="AE58" s="640"/>
      <c r="AF58" s="640"/>
      <c r="AG58" s="640"/>
      <c r="AH58" s="640"/>
      <c r="AI58" s="640"/>
      <c r="AJ58" s="640"/>
      <c r="AK58" s="641"/>
      <c r="AM58" s="66"/>
      <c r="AN58" s="68"/>
      <c r="AO58" s="762"/>
      <c r="AP58" s="762"/>
      <c r="AQ58" s="762"/>
      <c r="AR58" s="762"/>
      <c r="AS58" s="762"/>
      <c r="AT58" s="762"/>
      <c r="AU58" s="762"/>
      <c r="AV58" s="629"/>
      <c r="AW58" s="629"/>
      <c r="AX58" s="756"/>
      <c r="AY58" s="781"/>
    </row>
    <row r="59" spans="1:70" ht="18" customHeight="1" x14ac:dyDescent="0.25">
      <c r="A59" s="302">
        <f>'Table 5-A| Primary MPTE'!A91</f>
        <v>0</v>
      </c>
      <c r="B59" s="303">
        <f>'Table 5-A| Primary MPTE'!B91</f>
        <v>0</v>
      </c>
      <c r="C59" s="305">
        <f>IFERROR(IF('Table 6-A| Controls &amp; Limits'!C67="Yes",'Table 6-A| Controls &amp; Limits'!E67,'Table 6-A| Controls &amp; Limits'!D67),0)</f>
        <v>0</v>
      </c>
      <c r="D59" s="391">
        <f>'Table 5-A| Primary MPTE'!D91</f>
        <v>0</v>
      </c>
      <c r="E59" s="392">
        <f>IF('Table 6-B| Emission Limits'!E50=0,IFERROR(IFERROR(1-VLOOKUP('Table 6-A| Controls &amp; Limits'!$K67,'Emission Controls'!$A$20:$L$33,4,),1)*('Table 5-A| Primary MPTE'!G91*'Table 7-A| Primary APTE'!$C59/'Table 5-A| Primary MPTE'!$E91),0),'Table 6-B| Emission Limits'!E50)</f>
        <v>0</v>
      </c>
      <c r="F59" s="393">
        <f>IF('Table 6-B| Emission Limits'!F50=0,IFERROR(IFERROR(1-VLOOKUP('Table 6-A| Controls &amp; Limits'!$K67,'Emission Controls'!$A$20:$L$33,5,),1)*('Table 5-A| Primary MPTE'!H91*'Table 7-A| Primary APTE'!$C59/'Table 5-A| Primary MPTE'!$E91),0),'Table 6-B| Emission Limits'!F50)</f>
        <v>0</v>
      </c>
      <c r="G59" s="393">
        <f>IF('Table 6-B| Emission Limits'!G50=0,IFERROR(IFERROR(1-VLOOKUP('Table 6-A| Controls &amp; Limits'!$K67,'Emission Controls'!$A$20:$L$33,6,),1)*('Table 5-A| Primary MPTE'!I91*'Table 7-A| Primary APTE'!$C59/'Table 5-A| Primary MPTE'!$E91),0),'Table 6-B| Emission Limits'!G50)</f>
        <v>0</v>
      </c>
      <c r="H59" s="393">
        <f>IF('Table 6-B| Emission Limits'!H50=0,IFERROR(IFERROR(1-VLOOKUP('Table 6-A| Controls &amp; Limits'!$K67,'Emission Controls'!$A$20:$L$33,7,),1)*('Table 5-A| Primary MPTE'!J91*'Table 7-A| Primary APTE'!$C59/'Table 5-A| Primary MPTE'!$E91),0),'Table 6-B| Emission Limits'!H50)</f>
        <v>0</v>
      </c>
      <c r="I59" s="393">
        <f>IF('Table 6-B| Emission Limits'!I50=0,IFERROR(IFERROR(1-VLOOKUP('Table 6-A| Controls &amp; Limits'!$K67,'Emission Controls'!$A$20:$L$33,8,),1)*('Table 5-A| Primary MPTE'!K91*'Table 7-A| Primary APTE'!$C59/'Table 5-A| Primary MPTE'!$E91),0),'Table 6-B| Emission Limits'!I50)</f>
        <v>0</v>
      </c>
      <c r="J59" s="393">
        <f>IF('Table 6-B| Emission Limits'!J50=0,IFERROR(IFERROR(1-VLOOKUP('Table 6-A| Controls &amp; Limits'!$K67,'Emission Controls'!$A$20:$L$33,9,),1)*('Table 5-A| Primary MPTE'!L91*'Table 7-A| Primary APTE'!$C59/'Table 5-A| Primary MPTE'!$E91),0),'Table 6-B| Emission Limits'!J50)</f>
        <v>0</v>
      </c>
      <c r="K59" s="393">
        <f>IF('Table 6-B| Emission Limits'!K50=0,IFERROR(IFERROR(1-VLOOKUP('Table 6-A| Controls &amp; Limits'!$K67,'Emission Controls'!$A$20:$L$33,10,),1)*('Table 5-A| Primary MPTE'!M91*'Table 7-A| Primary APTE'!$C59/'Table 5-A| Primary MPTE'!$E91),0),'Table 6-B| Emission Limits'!K50)</f>
        <v>0</v>
      </c>
      <c r="L59" s="393">
        <f>IF('Table 6-B| Emission Limits'!L50=0,IFERROR(IFERROR(1-VLOOKUP('Table 6-A| Controls &amp; Limits'!$K67,'Emission Controls'!$A$20:$L$33,11,),1)*('Table 5-A| Primary MPTE'!N91*'Table 7-A| Primary APTE'!$C59/'Table 5-A| Primary MPTE'!$E91),0),'Table 6-B| Emission Limits'!L50)</f>
        <v>0</v>
      </c>
      <c r="M59" s="394">
        <f>IF('Table 6-B| Emission Limits'!M50=0,IFERROR(IFERROR(1-VLOOKUP('Table 6-A| Controls &amp; Limits'!$K67,'Emission Controls'!$A$20:$L$33,12,),1)*('Table 5-A| Primary MPTE'!O91*'Table 7-A| Primary APTE'!$C59/'Table 5-A| Primary MPTE'!$E91),0),'Table 6-B| Emission Limits'!M50)</f>
        <v>0</v>
      </c>
      <c r="S59" s="639"/>
      <c r="T59" s="640"/>
      <c r="U59" s="640"/>
      <c r="V59" s="640"/>
      <c r="W59" s="640"/>
      <c r="X59" s="640"/>
      <c r="Y59" s="640"/>
      <c r="Z59" s="640"/>
      <c r="AA59" s="641"/>
      <c r="AC59" s="639"/>
      <c r="AD59" s="640"/>
      <c r="AE59" s="640"/>
      <c r="AF59" s="640"/>
      <c r="AG59" s="640"/>
      <c r="AH59" s="640"/>
      <c r="AI59" s="640"/>
      <c r="AJ59" s="640"/>
      <c r="AK59" s="641"/>
      <c r="AM59" s="66"/>
      <c r="AN59" s="68"/>
      <c r="AO59" s="762"/>
      <c r="AP59" s="762"/>
      <c r="AQ59" s="762"/>
      <c r="AR59" s="762"/>
      <c r="AS59" s="762"/>
      <c r="AT59" s="762"/>
      <c r="AU59" s="762"/>
      <c r="AV59" s="629"/>
      <c r="AW59" s="629"/>
      <c r="AX59" s="756"/>
      <c r="AY59" s="781"/>
    </row>
    <row r="60" spans="1:70" ht="18" customHeight="1" x14ac:dyDescent="0.25">
      <c r="A60" s="630">
        <f>'Table 5-A| Primary MPTE'!A92</f>
        <v>0</v>
      </c>
      <c r="B60" s="626">
        <f>'Table 5-A| Primary MPTE'!B92</f>
        <v>0</v>
      </c>
      <c r="C60" s="631">
        <f>IFERROR(IF('Table 6-A| Controls &amp; Limits'!C68="Yes",'Table 6-A| Controls &amp; Limits'!E68,'Table 6-A| Controls &amp; Limits'!D68),0)</f>
        <v>0</v>
      </c>
      <c r="D60" s="625">
        <f>'Table 5-A| Primary MPTE'!D92</f>
        <v>0</v>
      </c>
      <c r="E60" s="632">
        <f>IF('Table 6-B| Emission Limits'!E51=0,IFERROR(IFERROR(1-VLOOKUP('Table 6-A| Controls &amp; Limits'!$K68,'Emission Controls'!$A$20:$L$33,4,),1)*('Table 5-A| Primary MPTE'!G92*'Table 7-A| Primary APTE'!$C60/'Table 5-A| Primary MPTE'!$E92),0),'Table 6-B| Emission Limits'!E51)</f>
        <v>0</v>
      </c>
      <c r="F60" s="633">
        <f>IF('Table 6-B| Emission Limits'!F51=0,IFERROR(IFERROR(1-VLOOKUP('Table 6-A| Controls &amp; Limits'!$K68,'Emission Controls'!$A$20:$L$33,5,),1)*('Table 5-A| Primary MPTE'!H92*'Table 7-A| Primary APTE'!$C60/'Table 5-A| Primary MPTE'!$E92),0),'Table 6-B| Emission Limits'!F51)</f>
        <v>0</v>
      </c>
      <c r="G60" s="633">
        <f>IF('Table 6-B| Emission Limits'!G51=0,IFERROR(IFERROR(1-VLOOKUP('Table 6-A| Controls &amp; Limits'!$K68,'Emission Controls'!$A$20:$L$33,6,),1)*('Table 5-A| Primary MPTE'!I92*'Table 7-A| Primary APTE'!$C60/'Table 5-A| Primary MPTE'!$E92),0),'Table 6-B| Emission Limits'!G51)</f>
        <v>0</v>
      </c>
      <c r="H60" s="633">
        <f>IF('Table 6-B| Emission Limits'!H51=0,IFERROR(IFERROR(1-VLOOKUP('Table 6-A| Controls &amp; Limits'!$K68,'Emission Controls'!$A$20:$L$33,7,),1)*('Table 5-A| Primary MPTE'!J92*'Table 7-A| Primary APTE'!$C60/'Table 5-A| Primary MPTE'!$E92),0),'Table 6-B| Emission Limits'!H51)</f>
        <v>0</v>
      </c>
      <c r="I60" s="633">
        <f>IF('Table 6-B| Emission Limits'!I51=0,IFERROR(IFERROR(1-VLOOKUP('Table 6-A| Controls &amp; Limits'!$K68,'Emission Controls'!$A$20:$L$33,8,),1)*('Table 5-A| Primary MPTE'!K92*'Table 7-A| Primary APTE'!$C60/'Table 5-A| Primary MPTE'!$E92),0),'Table 6-B| Emission Limits'!I51)</f>
        <v>0</v>
      </c>
      <c r="J60" s="633">
        <f>IF('Table 6-B| Emission Limits'!J51=0,IFERROR(IFERROR(1-VLOOKUP('Table 6-A| Controls &amp; Limits'!$K68,'Emission Controls'!$A$20:$L$33,9,),1)*('Table 5-A| Primary MPTE'!L92*'Table 7-A| Primary APTE'!$C60/'Table 5-A| Primary MPTE'!$E92),0),'Table 6-B| Emission Limits'!J51)</f>
        <v>0</v>
      </c>
      <c r="K60" s="633">
        <f>IF('Table 6-B| Emission Limits'!K51=0,IFERROR(IFERROR(1-VLOOKUP('Table 6-A| Controls &amp; Limits'!$K68,'Emission Controls'!$A$20:$L$33,10,),1)*('Table 5-A| Primary MPTE'!M92*'Table 7-A| Primary APTE'!$C60/'Table 5-A| Primary MPTE'!$E92),0),'Table 6-B| Emission Limits'!K51)</f>
        <v>0</v>
      </c>
      <c r="L60" s="633">
        <f>IF('Table 6-B| Emission Limits'!L51=0,IFERROR(IFERROR(1-VLOOKUP('Table 6-A| Controls &amp; Limits'!$K68,'Emission Controls'!$A$20:$L$33,11,),1)*('Table 5-A| Primary MPTE'!N92*'Table 7-A| Primary APTE'!$C60/'Table 5-A| Primary MPTE'!$E92),0),'Table 6-B| Emission Limits'!L51)</f>
        <v>0</v>
      </c>
      <c r="M60" s="634">
        <f>IF('Table 6-B| Emission Limits'!M51=0,IFERROR(IFERROR(1-VLOOKUP('Table 6-A| Controls &amp; Limits'!$K68,'Emission Controls'!$A$20:$L$33,12,),1)*('Table 5-A| Primary MPTE'!O92*'Table 7-A| Primary APTE'!$C60/'Table 5-A| Primary MPTE'!$E92),0),'Table 6-B| Emission Limits'!M51)</f>
        <v>0</v>
      </c>
      <c r="S60" s="639"/>
      <c r="T60" s="640"/>
      <c r="U60" s="640"/>
      <c r="V60" s="640"/>
      <c r="W60" s="640"/>
      <c r="X60" s="640"/>
      <c r="Y60" s="640"/>
      <c r="Z60" s="640"/>
      <c r="AA60" s="641"/>
      <c r="AC60" s="639"/>
      <c r="AD60" s="640"/>
      <c r="AE60" s="640"/>
      <c r="AF60" s="640"/>
      <c r="AG60" s="640"/>
      <c r="AH60" s="640"/>
      <c r="AI60" s="640"/>
      <c r="AJ60" s="640"/>
      <c r="AK60" s="641"/>
      <c r="AM60" s="66"/>
      <c r="AN60" s="68"/>
      <c r="AO60" s="762"/>
      <c r="AP60" s="762"/>
      <c r="AQ60" s="762"/>
      <c r="AR60" s="762"/>
      <c r="AS60" s="762"/>
      <c r="AT60" s="762"/>
      <c r="AU60" s="762"/>
      <c r="AV60" s="629"/>
      <c r="AW60" s="629"/>
      <c r="AX60" s="756"/>
      <c r="AY60" s="781"/>
    </row>
    <row r="61" spans="1:70" ht="18" customHeight="1" x14ac:dyDescent="0.25">
      <c r="A61" s="302">
        <f>'Table 5-A| Primary MPTE'!A93</f>
        <v>0</v>
      </c>
      <c r="B61" s="303">
        <f>'Table 5-A| Primary MPTE'!B93</f>
        <v>0</v>
      </c>
      <c r="C61" s="305">
        <f>IFERROR(IF('Table 6-A| Controls &amp; Limits'!C69="Yes",'Table 6-A| Controls &amp; Limits'!E69,'Table 6-A| Controls &amp; Limits'!D69),0)</f>
        <v>0</v>
      </c>
      <c r="D61" s="391">
        <f>'Table 5-A| Primary MPTE'!D93</f>
        <v>0</v>
      </c>
      <c r="E61" s="392">
        <f>IF('Table 6-B| Emission Limits'!E52=0,IFERROR(IFERROR(1-VLOOKUP('Table 6-A| Controls &amp; Limits'!$K69,'Emission Controls'!$A$20:$L$33,4,),1)*('Table 5-A| Primary MPTE'!G93*'Table 7-A| Primary APTE'!$C61/'Table 5-A| Primary MPTE'!$E93),0),'Table 6-B| Emission Limits'!E52)</f>
        <v>0</v>
      </c>
      <c r="F61" s="393">
        <f>IF('Table 6-B| Emission Limits'!F52=0,IFERROR(IFERROR(1-VLOOKUP('Table 6-A| Controls &amp; Limits'!$K69,'Emission Controls'!$A$20:$L$33,5,),1)*('Table 5-A| Primary MPTE'!H93*'Table 7-A| Primary APTE'!$C61/'Table 5-A| Primary MPTE'!$E93),0),'Table 6-B| Emission Limits'!F52)</f>
        <v>0</v>
      </c>
      <c r="G61" s="393">
        <f>IF('Table 6-B| Emission Limits'!G52=0,IFERROR(IFERROR(1-VLOOKUP('Table 6-A| Controls &amp; Limits'!$K69,'Emission Controls'!$A$20:$L$33,6,),1)*('Table 5-A| Primary MPTE'!I93*'Table 7-A| Primary APTE'!$C61/'Table 5-A| Primary MPTE'!$E93),0),'Table 6-B| Emission Limits'!G52)</f>
        <v>0</v>
      </c>
      <c r="H61" s="393">
        <f>IF('Table 6-B| Emission Limits'!H52=0,IFERROR(IFERROR(1-VLOOKUP('Table 6-A| Controls &amp; Limits'!$K69,'Emission Controls'!$A$20:$L$33,7,),1)*('Table 5-A| Primary MPTE'!J93*'Table 7-A| Primary APTE'!$C61/'Table 5-A| Primary MPTE'!$E93),0),'Table 6-B| Emission Limits'!H52)</f>
        <v>0</v>
      </c>
      <c r="I61" s="393">
        <f>IF('Table 6-B| Emission Limits'!I52=0,IFERROR(IFERROR(1-VLOOKUP('Table 6-A| Controls &amp; Limits'!$K69,'Emission Controls'!$A$20:$L$33,8,),1)*('Table 5-A| Primary MPTE'!K93*'Table 7-A| Primary APTE'!$C61/'Table 5-A| Primary MPTE'!$E93),0),'Table 6-B| Emission Limits'!I52)</f>
        <v>0</v>
      </c>
      <c r="J61" s="393">
        <f>IF('Table 6-B| Emission Limits'!J52=0,IFERROR(IFERROR(1-VLOOKUP('Table 6-A| Controls &amp; Limits'!$K69,'Emission Controls'!$A$20:$L$33,9,),1)*('Table 5-A| Primary MPTE'!L93*'Table 7-A| Primary APTE'!$C61/'Table 5-A| Primary MPTE'!$E93),0),'Table 6-B| Emission Limits'!J52)</f>
        <v>0</v>
      </c>
      <c r="K61" s="393">
        <f>IF('Table 6-B| Emission Limits'!K52=0,IFERROR(IFERROR(1-VLOOKUP('Table 6-A| Controls &amp; Limits'!$K69,'Emission Controls'!$A$20:$L$33,10,),1)*('Table 5-A| Primary MPTE'!M93*'Table 7-A| Primary APTE'!$C61/'Table 5-A| Primary MPTE'!$E93),0),'Table 6-B| Emission Limits'!K52)</f>
        <v>0</v>
      </c>
      <c r="L61" s="393">
        <f>IF('Table 6-B| Emission Limits'!L52=0,IFERROR(IFERROR(1-VLOOKUP('Table 6-A| Controls &amp; Limits'!$K69,'Emission Controls'!$A$20:$L$33,11,),1)*('Table 5-A| Primary MPTE'!N93*'Table 7-A| Primary APTE'!$C61/'Table 5-A| Primary MPTE'!$E93),0),'Table 6-B| Emission Limits'!L52)</f>
        <v>0</v>
      </c>
      <c r="M61" s="394">
        <f>IF('Table 6-B| Emission Limits'!M52=0,IFERROR(IFERROR(1-VLOOKUP('Table 6-A| Controls &amp; Limits'!$K69,'Emission Controls'!$A$20:$L$33,12,),1)*('Table 5-A| Primary MPTE'!O93*'Table 7-A| Primary APTE'!$C61/'Table 5-A| Primary MPTE'!$E93),0),'Table 6-B| Emission Limits'!M52)</f>
        <v>0</v>
      </c>
      <c r="S61" s="639"/>
      <c r="T61" s="640"/>
      <c r="U61" s="640"/>
      <c r="V61" s="640"/>
      <c r="W61" s="640"/>
      <c r="X61" s="640"/>
      <c r="Y61" s="640"/>
      <c r="Z61" s="640"/>
      <c r="AA61" s="641"/>
      <c r="AC61" s="639"/>
      <c r="AD61" s="640"/>
      <c r="AE61" s="640"/>
      <c r="AF61" s="640"/>
      <c r="AG61" s="640"/>
      <c r="AH61" s="640"/>
      <c r="AI61" s="640"/>
      <c r="AJ61" s="640"/>
      <c r="AK61" s="641"/>
      <c r="AM61" s="66"/>
      <c r="AN61" s="68"/>
      <c r="AO61" s="762"/>
      <c r="AP61" s="762"/>
      <c r="AQ61" s="762"/>
      <c r="AR61" s="762"/>
      <c r="AS61" s="762"/>
      <c r="AT61" s="762"/>
      <c r="AU61" s="762"/>
      <c r="AV61" s="629"/>
      <c r="AW61" s="629"/>
      <c r="AX61" s="756"/>
      <c r="AY61" s="781"/>
    </row>
    <row r="62" spans="1:70" ht="18" customHeight="1" x14ac:dyDescent="0.25">
      <c r="A62" s="302">
        <f>'Table 5-A| Primary MPTE'!A94</f>
        <v>0</v>
      </c>
      <c r="B62" s="303">
        <f>'Table 5-A| Primary MPTE'!B94</f>
        <v>0</v>
      </c>
      <c r="C62" s="305">
        <f>IFERROR(IF('Table 6-A| Controls &amp; Limits'!C70="Yes",'Table 6-A| Controls &amp; Limits'!E70,'Table 6-A| Controls &amp; Limits'!D70),0)</f>
        <v>0</v>
      </c>
      <c r="D62" s="391">
        <f>'Table 5-A| Primary MPTE'!D94</f>
        <v>0</v>
      </c>
      <c r="E62" s="392">
        <f>IF('Table 6-B| Emission Limits'!E53=0,IFERROR(IFERROR(1-VLOOKUP('Table 6-A| Controls &amp; Limits'!$K70,'Emission Controls'!$A$20:$L$33,4,),1)*('Table 5-A| Primary MPTE'!G94*'Table 7-A| Primary APTE'!$C62/'Table 5-A| Primary MPTE'!$E94),0),'Table 6-B| Emission Limits'!E53)</f>
        <v>0</v>
      </c>
      <c r="F62" s="393">
        <f>IF('Table 6-B| Emission Limits'!F53=0,IFERROR(IFERROR(1-VLOOKUP('Table 6-A| Controls &amp; Limits'!$K70,'Emission Controls'!$A$20:$L$33,5,),1)*('Table 5-A| Primary MPTE'!H94*'Table 7-A| Primary APTE'!$C62/'Table 5-A| Primary MPTE'!$E94),0),'Table 6-B| Emission Limits'!F53)</f>
        <v>0</v>
      </c>
      <c r="G62" s="393">
        <f>IF('Table 6-B| Emission Limits'!G53=0,IFERROR(IFERROR(1-VLOOKUP('Table 6-A| Controls &amp; Limits'!$K70,'Emission Controls'!$A$20:$L$33,6,),1)*('Table 5-A| Primary MPTE'!I94*'Table 7-A| Primary APTE'!$C62/'Table 5-A| Primary MPTE'!$E94),0),'Table 6-B| Emission Limits'!G53)</f>
        <v>0</v>
      </c>
      <c r="H62" s="393">
        <f>IF('Table 6-B| Emission Limits'!H53=0,IFERROR(IFERROR(1-VLOOKUP('Table 6-A| Controls &amp; Limits'!$K70,'Emission Controls'!$A$20:$L$33,7,),1)*('Table 5-A| Primary MPTE'!J94*'Table 7-A| Primary APTE'!$C62/'Table 5-A| Primary MPTE'!$E94),0),'Table 6-B| Emission Limits'!H53)</f>
        <v>0</v>
      </c>
      <c r="I62" s="393">
        <f>IF('Table 6-B| Emission Limits'!I53=0,IFERROR(IFERROR(1-VLOOKUP('Table 6-A| Controls &amp; Limits'!$K70,'Emission Controls'!$A$20:$L$33,8,),1)*('Table 5-A| Primary MPTE'!K94*'Table 7-A| Primary APTE'!$C62/'Table 5-A| Primary MPTE'!$E94),0),'Table 6-B| Emission Limits'!I53)</f>
        <v>0</v>
      </c>
      <c r="J62" s="393">
        <f>IF('Table 6-B| Emission Limits'!J53=0,IFERROR(IFERROR(1-VLOOKUP('Table 6-A| Controls &amp; Limits'!$K70,'Emission Controls'!$A$20:$L$33,9,),1)*('Table 5-A| Primary MPTE'!L94*'Table 7-A| Primary APTE'!$C62/'Table 5-A| Primary MPTE'!$E94),0),'Table 6-B| Emission Limits'!J53)</f>
        <v>0</v>
      </c>
      <c r="K62" s="393">
        <f>IF('Table 6-B| Emission Limits'!K53=0,IFERROR(IFERROR(1-VLOOKUP('Table 6-A| Controls &amp; Limits'!$K70,'Emission Controls'!$A$20:$L$33,10,),1)*('Table 5-A| Primary MPTE'!M94*'Table 7-A| Primary APTE'!$C62/'Table 5-A| Primary MPTE'!$E94),0),'Table 6-B| Emission Limits'!K53)</f>
        <v>0</v>
      </c>
      <c r="L62" s="393">
        <f>IF('Table 6-B| Emission Limits'!L53=0,IFERROR(IFERROR(1-VLOOKUP('Table 6-A| Controls &amp; Limits'!$K70,'Emission Controls'!$A$20:$L$33,11,),1)*('Table 5-A| Primary MPTE'!N94*'Table 7-A| Primary APTE'!$C62/'Table 5-A| Primary MPTE'!$E94),0),'Table 6-B| Emission Limits'!L53)</f>
        <v>0</v>
      </c>
      <c r="M62" s="394">
        <f>IF('Table 6-B| Emission Limits'!M53=0,IFERROR(IFERROR(1-VLOOKUP('Table 6-A| Controls &amp; Limits'!$K70,'Emission Controls'!$A$20:$L$33,12,),1)*('Table 5-A| Primary MPTE'!O94*'Table 7-A| Primary APTE'!$C62/'Table 5-A| Primary MPTE'!$E94),0),'Table 6-B| Emission Limits'!M53)</f>
        <v>0</v>
      </c>
      <c r="S62" s="639"/>
      <c r="T62" s="640"/>
      <c r="U62" s="640"/>
      <c r="V62" s="640"/>
      <c r="W62" s="640"/>
      <c r="X62" s="640"/>
      <c r="Y62" s="640"/>
      <c r="Z62" s="640"/>
      <c r="AA62" s="641"/>
      <c r="AC62" s="639"/>
      <c r="AD62" s="640"/>
      <c r="AE62" s="640"/>
      <c r="AF62" s="640"/>
      <c r="AG62" s="640"/>
      <c r="AH62" s="640"/>
      <c r="AI62" s="640"/>
      <c r="AJ62" s="640"/>
      <c r="AK62" s="641"/>
      <c r="AM62" s="66"/>
      <c r="AN62" s="68"/>
      <c r="AO62" s="762"/>
      <c r="AP62" s="762"/>
      <c r="AQ62" s="762"/>
      <c r="AR62" s="762"/>
      <c r="AS62" s="762"/>
      <c r="AT62" s="762"/>
      <c r="AU62" s="762"/>
      <c r="AV62" s="629"/>
      <c r="AW62" s="629"/>
      <c r="AX62" s="756"/>
      <c r="AY62" s="781"/>
    </row>
    <row r="63" spans="1:70" ht="18" customHeight="1" x14ac:dyDescent="0.25">
      <c r="A63" s="630">
        <f>'Table 5-A| Primary MPTE'!A95</f>
        <v>0</v>
      </c>
      <c r="B63" s="626">
        <f>'Table 5-A| Primary MPTE'!B95</f>
        <v>0</v>
      </c>
      <c r="C63" s="631">
        <f>IFERROR(IF('Table 6-A| Controls &amp; Limits'!C71="Yes",'Table 6-A| Controls &amp; Limits'!E71,'Table 6-A| Controls &amp; Limits'!D71),0)</f>
        <v>0</v>
      </c>
      <c r="D63" s="625">
        <f>'Table 5-A| Primary MPTE'!D95</f>
        <v>0</v>
      </c>
      <c r="E63" s="632">
        <f>IF('Table 6-B| Emission Limits'!E54=0,IFERROR(IFERROR(1-VLOOKUP('Table 6-A| Controls &amp; Limits'!$K71,'Emission Controls'!$A$20:$L$33,4,),1)*('Table 5-A| Primary MPTE'!G95*'Table 7-A| Primary APTE'!$C63/'Table 5-A| Primary MPTE'!$E95),0),'Table 6-B| Emission Limits'!E54)</f>
        <v>0</v>
      </c>
      <c r="F63" s="633">
        <f>IF('Table 6-B| Emission Limits'!F54=0,IFERROR(IFERROR(1-VLOOKUP('Table 6-A| Controls &amp; Limits'!$K71,'Emission Controls'!$A$20:$L$33,5,),1)*('Table 5-A| Primary MPTE'!H95*'Table 7-A| Primary APTE'!$C63/'Table 5-A| Primary MPTE'!$E95),0),'Table 6-B| Emission Limits'!F54)</f>
        <v>0</v>
      </c>
      <c r="G63" s="633">
        <f>IF('Table 6-B| Emission Limits'!G54=0,IFERROR(IFERROR(1-VLOOKUP('Table 6-A| Controls &amp; Limits'!$K71,'Emission Controls'!$A$20:$L$33,6,),1)*('Table 5-A| Primary MPTE'!I95*'Table 7-A| Primary APTE'!$C63/'Table 5-A| Primary MPTE'!$E95),0),'Table 6-B| Emission Limits'!G54)</f>
        <v>0</v>
      </c>
      <c r="H63" s="633">
        <f>IF('Table 6-B| Emission Limits'!H54=0,IFERROR(IFERROR(1-VLOOKUP('Table 6-A| Controls &amp; Limits'!$K71,'Emission Controls'!$A$20:$L$33,7,),1)*('Table 5-A| Primary MPTE'!J95*'Table 7-A| Primary APTE'!$C63/'Table 5-A| Primary MPTE'!$E95),0),'Table 6-B| Emission Limits'!H54)</f>
        <v>0</v>
      </c>
      <c r="I63" s="633">
        <f>IF('Table 6-B| Emission Limits'!I54=0,IFERROR(IFERROR(1-VLOOKUP('Table 6-A| Controls &amp; Limits'!$K71,'Emission Controls'!$A$20:$L$33,8,),1)*('Table 5-A| Primary MPTE'!K95*'Table 7-A| Primary APTE'!$C63/'Table 5-A| Primary MPTE'!$E95),0),'Table 6-B| Emission Limits'!I54)</f>
        <v>0</v>
      </c>
      <c r="J63" s="633">
        <f>IF('Table 6-B| Emission Limits'!J54=0,IFERROR(IFERROR(1-VLOOKUP('Table 6-A| Controls &amp; Limits'!$K71,'Emission Controls'!$A$20:$L$33,9,),1)*('Table 5-A| Primary MPTE'!L95*'Table 7-A| Primary APTE'!$C63/'Table 5-A| Primary MPTE'!$E95),0),'Table 6-B| Emission Limits'!J54)</f>
        <v>0</v>
      </c>
      <c r="K63" s="633">
        <f>IF('Table 6-B| Emission Limits'!K54=0,IFERROR(IFERROR(1-VLOOKUP('Table 6-A| Controls &amp; Limits'!$K71,'Emission Controls'!$A$20:$L$33,10,),1)*('Table 5-A| Primary MPTE'!M95*'Table 7-A| Primary APTE'!$C63/'Table 5-A| Primary MPTE'!$E95),0),'Table 6-B| Emission Limits'!K54)</f>
        <v>0</v>
      </c>
      <c r="L63" s="633">
        <f>IF('Table 6-B| Emission Limits'!L54=0,IFERROR(IFERROR(1-VLOOKUP('Table 6-A| Controls &amp; Limits'!$K71,'Emission Controls'!$A$20:$L$33,11,),1)*('Table 5-A| Primary MPTE'!N95*'Table 7-A| Primary APTE'!$C63/'Table 5-A| Primary MPTE'!$E95),0),'Table 6-B| Emission Limits'!L54)</f>
        <v>0</v>
      </c>
      <c r="M63" s="634">
        <f>IF('Table 6-B| Emission Limits'!M54=0,IFERROR(IFERROR(1-VLOOKUP('Table 6-A| Controls &amp; Limits'!$K71,'Emission Controls'!$A$20:$L$33,12,),1)*('Table 5-A| Primary MPTE'!O95*'Table 7-A| Primary APTE'!$C63/'Table 5-A| Primary MPTE'!$E95),0),'Table 6-B| Emission Limits'!M54)</f>
        <v>0</v>
      </c>
      <c r="S63" s="639"/>
      <c r="T63" s="640"/>
      <c r="U63" s="640"/>
      <c r="V63" s="640"/>
      <c r="W63" s="640"/>
      <c r="X63" s="640"/>
      <c r="Y63" s="640"/>
      <c r="Z63" s="640"/>
      <c r="AA63" s="641"/>
      <c r="AC63" s="639"/>
      <c r="AD63" s="640"/>
      <c r="AE63" s="640"/>
      <c r="AF63" s="640"/>
      <c r="AG63" s="640"/>
      <c r="AH63" s="640"/>
      <c r="AI63" s="640"/>
      <c r="AJ63" s="640"/>
      <c r="AK63" s="641"/>
      <c r="AM63" s="66"/>
      <c r="AN63" s="68"/>
      <c r="AO63" s="762"/>
      <c r="AP63" s="762"/>
      <c r="AQ63" s="762"/>
      <c r="AR63" s="762"/>
      <c r="AS63" s="762"/>
      <c r="AT63" s="762"/>
      <c r="AU63" s="762"/>
      <c r="AV63" s="629"/>
      <c r="AW63" s="629"/>
      <c r="AX63" s="756"/>
      <c r="AY63" s="781"/>
    </row>
    <row r="64" spans="1:70" ht="18" customHeight="1" x14ac:dyDescent="0.25">
      <c r="A64" s="302">
        <f>'Table 5-A| Primary MPTE'!A96</f>
        <v>0</v>
      </c>
      <c r="B64" s="303">
        <f>'Table 5-A| Primary MPTE'!B96</f>
        <v>0</v>
      </c>
      <c r="C64" s="305">
        <f>IFERROR(IF('Table 6-A| Controls &amp; Limits'!C72="Yes",'Table 6-A| Controls &amp; Limits'!E72,'Table 6-A| Controls &amp; Limits'!D72),0)</f>
        <v>0</v>
      </c>
      <c r="D64" s="391">
        <f>'Table 5-A| Primary MPTE'!D96</f>
        <v>0</v>
      </c>
      <c r="E64" s="392">
        <f>IF('Table 6-B| Emission Limits'!E55=0,IFERROR(IFERROR(1-VLOOKUP('Table 6-A| Controls &amp; Limits'!$K72,'Emission Controls'!$A$20:$L$33,4,),1)*('Table 5-A| Primary MPTE'!G96*'Table 7-A| Primary APTE'!$C64/'Table 5-A| Primary MPTE'!$E96),0),'Table 6-B| Emission Limits'!E55)</f>
        <v>0</v>
      </c>
      <c r="F64" s="393">
        <f>IF('Table 6-B| Emission Limits'!F55=0,IFERROR(IFERROR(1-VLOOKUP('Table 6-A| Controls &amp; Limits'!$K72,'Emission Controls'!$A$20:$L$33,5,),1)*('Table 5-A| Primary MPTE'!H96*'Table 7-A| Primary APTE'!$C64/'Table 5-A| Primary MPTE'!$E96),0),'Table 6-B| Emission Limits'!F55)</f>
        <v>0</v>
      </c>
      <c r="G64" s="393">
        <f>IF('Table 6-B| Emission Limits'!G55=0,IFERROR(IFERROR(1-VLOOKUP('Table 6-A| Controls &amp; Limits'!$K72,'Emission Controls'!$A$20:$L$33,6,),1)*('Table 5-A| Primary MPTE'!I96*'Table 7-A| Primary APTE'!$C64/'Table 5-A| Primary MPTE'!$E96),0),'Table 6-B| Emission Limits'!G55)</f>
        <v>0</v>
      </c>
      <c r="H64" s="393">
        <f>IF('Table 6-B| Emission Limits'!H55=0,IFERROR(IFERROR(1-VLOOKUP('Table 6-A| Controls &amp; Limits'!$K72,'Emission Controls'!$A$20:$L$33,7,),1)*('Table 5-A| Primary MPTE'!J96*'Table 7-A| Primary APTE'!$C64/'Table 5-A| Primary MPTE'!$E96),0),'Table 6-B| Emission Limits'!H55)</f>
        <v>0</v>
      </c>
      <c r="I64" s="393">
        <f>IF('Table 6-B| Emission Limits'!I55=0,IFERROR(IFERROR(1-VLOOKUP('Table 6-A| Controls &amp; Limits'!$K72,'Emission Controls'!$A$20:$L$33,8,),1)*('Table 5-A| Primary MPTE'!K96*'Table 7-A| Primary APTE'!$C64/'Table 5-A| Primary MPTE'!$E96),0),'Table 6-B| Emission Limits'!I55)</f>
        <v>0</v>
      </c>
      <c r="J64" s="393">
        <f>IF('Table 6-B| Emission Limits'!J55=0,IFERROR(IFERROR(1-VLOOKUP('Table 6-A| Controls &amp; Limits'!$K72,'Emission Controls'!$A$20:$L$33,9,),1)*('Table 5-A| Primary MPTE'!L96*'Table 7-A| Primary APTE'!$C64/'Table 5-A| Primary MPTE'!$E96),0),'Table 6-B| Emission Limits'!J55)</f>
        <v>0</v>
      </c>
      <c r="K64" s="393">
        <f>IF('Table 6-B| Emission Limits'!K55=0,IFERROR(IFERROR(1-VLOOKUP('Table 6-A| Controls &amp; Limits'!$K72,'Emission Controls'!$A$20:$L$33,10,),1)*('Table 5-A| Primary MPTE'!M96*'Table 7-A| Primary APTE'!$C64/'Table 5-A| Primary MPTE'!$E96),0),'Table 6-B| Emission Limits'!K55)</f>
        <v>0</v>
      </c>
      <c r="L64" s="393">
        <f>IF('Table 6-B| Emission Limits'!L55=0,IFERROR(IFERROR(1-VLOOKUP('Table 6-A| Controls &amp; Limits'!$K72,'Emission Controls'!$A$20:$L$33,11,),1)*('Table 5-A| Primary MPTE'!N96*'Table 7-A| Primary APTE'!$C64/'Table 5-A| Primary MPTE'!$E96),0),'Table 6-B| Emission Limits'!L55)</f>
        <v>0</v>
      </c>
      <c r="M64" s="394">
        <f>IF('Table 6-B| Emission Limits'!M55=0,IFERROR(IFERROR(1-VLOOKUP('Table 6-A| Controls &amp; Limits'!$K72,'Emission Controls'!$A$20:$L$33,12,),1)*('Table 5-A| Primary MPTE'!O96*'Table 7-A| Primary APTE'!$C64/'Table 5-A| Primary MPTE'!$E96),0),'Table 6-B| Emission Limits'!M55)</f>
        <v>0</v>
      </c>
      <c r="S64" s="639"/>
      <c r="T64" s="640"/>
      <c r="U64" s="640"/>
      <c r="V64" s="640"/>
      <c r="W64" s="640"/>
      <c r="X64" s="640"/>
      <c r="Y64" s="640"/>
      <c r="Z64" s="640"/>
      <c r="AA64" s="641"/>
      <c r="AC64" s="639"/>
      <c r="AD64" s="640"/>
      <c r="AE64" s="640"/>
      <c r="AF64" s="640"/>
      <c r="AG64" s="640"/>
      <c r="AH64" s="640"/>
      <c r="AI64" s="640"/>
      <c r="AJ64" s="640"/>
      <c r="AK64" s="641"/>
      <c r="AM64" s="66"/>
      <c r="AN64" s="68"/>
      <c r="AO64" s="762"/>
      <c r="AP64" s="762"/>
      <c r="AQ64" s="762"/>
      <c r="AR64" s="762"/>
      <c r="AS64" s="762"/>
      <c r="AT64" s="762"/>
      <c r="AU64" s="762"/>
      <c r="AV64" s="629"/>
      <c r="AW64" s="629"/>
      <c r="AX64" s="756"/>
      <c r="AY64" s="781"/>
    </row>
    <row r="65" spans="1:51" ht="18" customHeight="1" x14ac:dyDescent="0.25">
      <c r="A65" s="302">
        <f>'Table 5-A| Primary MPTE'!A97</f>
        <v>0</v>
      </c>
      <c r="B65" s="303">
        <f>'Table 5-A| Primary MPTE'!B97</f>
        <v>0</v>
      </c>
      <c r="C65" s="305">
        <f>IFERROR(IF('Table 6-A| Controls &amp; Limits'!C73="Yes",'Table 6-A| Controls &amp; Limits'!E73,'Table 6-A| Controls &amp; Limits'!D73),0)</f>
        <v>0</v>
      </c>
      <c r="D65" s="391">
        <f>'Table 5-A| Primary MPTE'!D97</f>
        <v>0</v>
      </c>
      <c r="E65" s="392">
        <f>IF('Table 6-B| Emission Limits'!E56=0,IFERROR(IFERROR(1-VLOOKUP('Table 6-A| Controls &amp; Limits'!$K73,'Emission Controls'!$A$20:$L$33,4,),1)*('Table 5-A| Primary MPTE'!G97*'Table 7-A| Primary APTE'!$C65/'Table 5-A| Primary MPTE'!$E97),0),'Table 6-B| Emission Limits'!E56)</f>
        <v>0</v>
      </c>
      <c r="F65" s="393">
        <f>IF('Table 6-B| Emission Limits'!F56=0,IFERROR(IFERROR(1-VLOOKUP('Table 6-A| Controls &amp; Limits'!$K73,'Emission Controls'!$A$20:$L$33,5,),1)*('Table 5-A| Primary MPTE'!H97*'Table 7-A| Primary APTE'!$C65/'Table 5-A| Primary MPTE'!$E97),0),'Table 6-B| Emission Limits'!F56)</f>
        <v>0</v>
      </c>
      <c r="G65" s="393">
        <f>IF('Table 6-B| Emission Limits'!G56=0,IFERROR(IFERROR(1-VLOOKUP('Table 6-A| Controls &amp; Limits'!$K73,'Emission Controls'!$A$20:$L$33,6,),1)*('Table 5-A| Primary MPTE'!I97*'Table 7-A| Primary APTE'!$C65/'Table 5-A| Primary MPTE'!$E97),0),'Table 6-B| Emission Limits'!G56)</f>
        <v>0</v>
      </c>
      <c r="H65" s="393">
        <f>IF('Table 6-B| Emission Limits'!H56=0,IFERROR(IFERROR(1-VLOOKUP('Table 6-A| Controls &amp; Limits'!$K73,'Emission Controls'!$A$20:$L$33,7,),1)*('Table 5-A| Primary MPTE'!J97*'Table 7-A| Primary APTE'!$C65/'Table 5-A| Primary MPTE'!$E97),0),'Table 6-B| Emission Limits'!H56)</f>
        <v>0</v>
      </c>
      <c r="I65" s="393">
        <f>IF('Table 6-B| Emission Limits'!I56=0,IFERROR(IFERROR(1-VLOOKUP('Table 6-A| Controls &amp; Limits'!$K73,'Emission Controls'!$A$20:$L$33,8,),1)*('Table 5-A| Primary MPTE'!K97*'Table 7-A| Primary APTE'!$C65/'Table 5-A| Primary MPTE'!$E97),0),'Table 6-B| Emission Limits'!I56)</f>
        <v>0</v>
      </c>
      <c r="J65" s="393">
        <f>IF('Table 6-B| Emission Limits'!J56=0,IFERROR(IFERROR(1-VLOOKUP('Table 6-A| Controls &amp; Limits'!$K73,'Emission Controls'!$A$20:$L$33,9,),1)*('Table 5-A| Primary MPTE'!L97*'Table 7-A| Primary APTE'!$C65/'Table 5-A| Primary MPTE'!$E97),0),'Table 6-B| Emission Limits'!J56)</f>
        <v>0</v>
      </c>
      <c r="K65" s="393">
        <f>IF('Table 6-B| Emission Limits'!K56=0,IFERROR(IFERROR(1-VLOOKUP('Table 6-A| Controls &amp; Limits'!$K73,'Emission Controls'!$A$20:$L$33,10,),1)*('Table 5-A| Primary MPTE'!M97*'Table 7-A| Primary APTE'!$C65/'Table 5-A| Primary MPTE'!$E97),0),'Table 6-B| Emission Limits'!K56)</f>
        <v>0</v>
      </c>
      <c r="L65" s="393">
        <f>IF('Table 6-B| Emission Limits'!L56=0,IFERROR(IFERROR(1-VLOOKUP('Table 6-A| Controls &amp; Limits'!$K73,'Emission Controls'!$A$20:$L$33,11,),1)*('Table 5-A| Primary MPTE'!N97*'Table 7-A| Primary APTE'!$C65/'Table 5-A| Primary MPTE'!$E97),0),'Table 6-B| Emission Limits'!L56)</f>
        <v>0</v>
      </c>
      <c r="M65" s="394">
        <f>IF('Table 6-B| Emission Limits'!M56=0,IFERROR(IFERROR(1-VLOOKUP('Table 6-A| Controls &amp; Limits'!$K73,'Emission Controls'!$A$20:$L$33,12,),1)*('Table 5-A| Primary MPTE'!O97*'Table 7-A| Primary APTE'!$C65/'Table 5-A| Primary MPTE'!$E97),0),'Table 6-B| Emission Limits'!M56)</f>
        <v>0</v>
      </c>
      <c r="S65" s="639"/>
      <c r="T65" s="640"/>
      <c r="U65" s="640"/>
      <c r="V65" s="640"/>
      <c r="W65" s="640"/>
      <c r="X65" s="640"/>
      <c r="Y65" s="640"/>
      <c r="Z65" s="640"/>
      <c r="AA65" s="641"/>
      <c r="AC65" s="639"/>
      <c r="AD65" s="640"/>
      <c r="AE65" s="640"/>
      <c r="AF65" s="640"/>
      <c r="AG65" s="640"/>
      <c r="AH65" s="640"/>
      <c r="AI65" s="640"/>
      <c r="AJ65" s="640"/>
      <c r="AK65" s="641"/>
      <c r="AM65" s="66"/>
      <c r="AN65" s="68"/>
      <c r="AO65" s="762"/>
      <c r="AP65" s="762"/>
      <c r="AQ65" s="762"/>
      <c r="AR65" s="762"/>
      <c r="AS65" s="762"/>
      <c r="AT65" s="762"/>
      <c r="AU65" s="762"/>
      <c r="AV65" s="629"/>
      <c r="AW65" s="629"/>
      <c r="AX65" s="756"/>
      <c r="AY65" s="781"/>
    </row>
    <row r="66" spans="1:51" ht="18" customHeight="1" x14ac:dyDescent="0.25">
      <c r="A66" s="302">
        <f>'Table 5-A| Primary MPTE'!A98</f>
        <v>0</v>
      </c>
      <c r="B66" s="303">
        <f>'Table 5-A| Primary MPTE'!B98</f>
        <v>0</v>
      </c>
      <c r="C66" s="305">
        <f>IFERROR(IF('Table 6-A| Controls &amp; Limits'!C74="Yes",'Table 6-A| Controls &amp; Limits'!E74,'Table 6-A| Controls &amp; Limits'!D74),0)</f>
        <v>0</v>
      </c>
      <c r="D66" s="391">
        <f>'Table 5-A| Primary MPTE'!D98</f>
        <v>0</v>
      </c>
      <c r="E66" s="392">
        <f>IF('Table 6-B| Emission Limits'!E57=0,IFERROR(IFERROR(1-VLOOKUP('Table 6-A| Controls &amp; Limits'!$K74,'Emission Controls'!$A$20:$L$33,4,),1)*('Table 5-A| Primary MPTE'!G98*'Table 7-A| Primary APTE'!$C66/'Table 5-A| Primary MPTE'!$E98),0),'Table 6-B| Emission Limits'!E57)</f>
        <v>0</v>
      </c>
      <c r="F66" s="393">
        <f>IF('Table 6-B| Emission Limits'!F57=0,IFERROR(IFERROR(1-VLOOKUP('Table 6-A| Controls &amp; Limits'!$K74,'Emission Controls'!$A$20:$L$33,5,),1)*('Table 5-A| Primary MPTE'!H98*'Table 7-A| Primary APTE'!$C66/'Table 5-A| Primary MPTE'!$E98),0),'Table 6-B| Emission Limits'!F57)</f>
        <v>0</v>
      </c>
      <c r="G66" s="393">
        <f>IF('Table 6-B| Emission Limits'!G57=0,IFERROR(IFERROR(1-VLOOKUP('Table 6-A| Controls &amp; Limits'!$K74,'Emission Controls'!$A$20:$L$33,6,),1)*('Table 5-A| Primary MPTE'!I98*'Table 7-A| Primary APTE'!$C66/'Table 5-A| Primary MPTE'!$E98),0),'Table 6-B| Emission Limits'!G57)</f>
        <v>0</v>
      </c>
      <c r="H66" s="393">
        <f>IF('Table 6-B| Emission Limits'!H57=0,IFERROR(IFERROR(1-VLOOKUP('Table 6-A| Controls &amp; Limits'!$K74,'Emission Controls'!$A$20:$L$33,7,),1)*('Table 5-A| Primary MPTE'!J98*'Table 7-A| Primary APTE'!$C66/'Table 5-A| Primary MPTE'!$E98),0),'Table 6-B| Emission Limits'!H57)</f>
        <v>0</v>
      </c>
      <c r="I66" s="393">
        <f>IF('Table 6-B| Emission Limits'!I57=0,IFERROR(IFERROR(1-VLOOKUP('Table 6-A| Controls &amp; Limits'!$K74,'Emission Controls'!$A$20:$L$33,8,),1)*('Table 5-A| Primary MPTE'!K98*'Table 7-A| Primary APTE'!$C66/'Table 5-A| Primary MPTE'!$E98),0),'Table 6-B| Emission Limits'!I57)</f>
        <v>0</v>
      </c>
      <c r="J66" s="393">
        <f>IF('Table 6-B| Emission Limits'!J57=0,IFERROR(IFERROR(1-VLOOKUP('Table 6-A| Controls &amp; Limits'!$K74,'Emission Controls'!$A$20:$L$33,9,),1)*('Table 5-A| Primary MPTE'!L98*'Table 7-A| Primary APTE'!$C66/'Table 5-A| Primary MPTE'!$E98),0),'Table 6-B| Emission Limits'!J57)</f>
        <v>0</v>
      </c>
      <c r="K66" s="393">
        <f>IF('Table 6-B| Emission Limits'!K57=0,IFERROR(IFERROR(1-VLOOKUP('Table 6-A| Controls &amp; Limits'!$K74,'Emission Controls'!$A$20:$L$33,10,),1)*('Table 5-A| Primary MPTE'!M98*'Table 7-A| Primary APTE'!$C66/'Table 5-A| Primary MPTE'!$E98),0),'Table 6-B| Emission Limits'!K57)</f>
        <v>0</v>
      </c>
      <c r="L66" s="393">
        <f>IF('Table 6-B| Emission Limits'!L57=0,IFERROR(IFERROR(1-VLOOKUP('Table 6-A| Controls &amp; Limits'!$K74,'Emission Controls'!$A$20:$L$33,11,),1)*('Table 5-A| Primary MPTE'!N98*'Table 7-A| Primary APTE'!$C66/'Table 5-A| Primary MPTE'!$E98),0),'Table 6-B| Emission Limits'!L57)</f>
        <v>0</v>
      </c>
      <c r="M66" s="394">
        <f>IF('Table 6-B| Emission Limits'!M57=0,IFERROR(IFERROR(1-VLOOKUP('Table 6-A| Controls &amp; Limits'!$K74,'Emission Controls'!$A$20:$L$33,12,),1)*('Table 5-A| Primary MPTE'!O98*'Table 7-A| Primary APTE'!$C66/'Table 5-A| Primary MPTE'!$E98),0),'Table 6-B| Emission Limits'!M57)</f>
        <v>0</v>
      </c>
      <c r="S66" s="639"/>
      <c r="T66" s="640"/>
      <c r="U66" s="640"/>
      <c r="V66" s="640"/>
      <c r="W66" s="640"/>
      <c r="X66" s="640"/>
      <c r="Y66" s="640"/>
      <c r="Z66" s="640"/>
      <c r="AA66" s="641"/>
      <c r="AC66" s="639"/>
      <c r="AD66" s="640"/>
      <c r="AE66" s="640"/>
      <c r="AF66" s="640"/>
      <c r="AG66" s="640"/>
      <c r="AH66" s="640"/>
      <c r="AI66" s="640"/>
      <c r="AJ66" s="640"/>
      <c r="AK66" s="641"/>
      <c r="AM66" s="66"/>
      <c r="AN66" s="68"/>
      <c r="AO66" s="762"/>
      <c r="AP66" s="762"/>
      <c r="AQ66" s="762"/>
      <c r="AR66" s="762"/>
      <c r="AS66" s="762"/>
      <c r="AT66" s="762"/>
      <c r="AU66" s="762"/>
      <c r="AV66" s="629"/>
      <c r="AW66" s="629"/>
      <c r="AX66" s="756"/>
      <c r="AY66" s="781"/>
    </row>
    <row r="67" spans="1:51" ht="18" customHeight="1" x14ac:dyDescent="0.25">
      <c r="A67" s="302">
        <f>'Table 5-A| Primary MPTE'!A99</f>
        <v>0</v>
      </c>
      <c r="B67" s="303">
        <f>'Table 5-A| Primary MPTE'!B99</f>
        <v>0</v>
      </c>
      <c r="C67" s="305">
        <f>IFERROR(IF('Table 6-A| Controls &amp; Limits'!C75="Yes",'Table 6-A| Controls &amp; Limits'!E75,'Table 6-A| Controls &amp; Limits'!D75),0)</f>
        <v>0</v>
      </c>
      <c r="D67" s="391">
        <f>'Table 5-A| Primary MPTE'!D99</f>
        <v>0</v>
      </c>
      <c r="E67" s="392">
        <f>IF('Table 6-B| Emission Limits'!E58=0,IFERROR(IFERROR(1-VLOOKUP('Table 6-A| Controls &amp; Limits'!$K75,'Emission Controls'!$A$20:$L$33,4,),1)*('Table 5-A| Primary MPTE'!G99*'Table 7-A| Primary APTE'!$C67/'Table 5-A| Primary MPTE'!$E99),0),'Table 6-B| Emission Limits'!E58)</f>
        <v>0</v>
      </c>
      <c r="F67" s="393">
        <f>IF('Table 6-B| Emission Limits'!F58=0,IFERROR(IFERROR(1-VLOOKUP('Table 6-A| Controls &amp; Limits'!$K75,'Emission Controls'!$A$20:$L$33,5,),1)*('Table 5-A| Primary MPTE'!H99*'Table 7-A| Primary APTE'!$C67/'Table 5-A| Primary MPTE'!$E99),0),'Table 6-B| Emission Limits'!F58)</f>
        <v>0</v>
      </c>
      <c r="G67" s="393">
        <f>IF('Table 6-B| Emission Limits'!G58=0,IFERROR(IFERROR(1-VLOOKUP('Table 6-A| Controls &amp; Limits'!$K75,'Emission Controls'!$A$20:$L$33,6,),1)*('Table 5-A| Primary MPTE'!I99*'Table 7-A| Primary APTE'!$C67/'Table 5-A| Primary MPTE'!$E99),0),'Table 6-B| Emission Limits'!G58)</f>
        <v>0</v>
      </c>
      <c r="H67" s="393">
        <f>IF('Table 6-B| Emission Limits'!H58=0,IFERROR(IFERROR(1-VLOOKUP('Table 6-A| Controls &amp; Limits'!$K75,'Emission Controls'!$A$20:$L$33,7,),1)*('Table 5-A| Primary MPTE'!J99*'Table 7-A| Primary APTE'!$C67/'Table 5-A| Primary MPTE'!$E99),0),'Table 6-B| Emission Limits'!H58)</f>
        <v>0</v>
      </c>
      <c r="I67" s="393">
        <f>IF('Table 6-B| Emission Limits'!I58=0,IFERROR(IFERROR(1-VLOOKUP('Table 6-A| Controls &amp; Limits'!$K75,'Emission Controls'!$A$20:$L$33,8,),1)*('Table 5-A| Primary MPTE'!K99*'Table 7-A| Primary APTE'!$C67/'Table 5-A| Primary MPTE'!$E99),0),'Table 6-B| Emission Limits'!I58)</f>
        <v>0</v>
      </c>
      <c r="J67" s="393">
        <f>IF('Table 6-B| Emission Limits'!J58=0,IFERROR(IFERROR(1-VLOOKUP('Table 6-A| Controls &amp; Limits'!$K75,'Emission Controls'!$A$20:$L$33,9,),1)*('Table 5-A| Primary MPTE'!L99*'Table 7-A| Primary APTE'!$C67/'Table 5-A| Primary MPTE'!$E99),0),'Table 6-B| Emission Limits'!J58)</f>
        <v>0</v>
      </c>
      <c r="K67" s="393">
        <f>IF('Table 6-B| Emission Limits'!K58=0,IFERROR(IFERROR(1-VLOOKUP('Table 6-A| Controls &amp; Limits'!$K75,'Emission Controls'!$A$20:$L$33,10,),1)*('Table 5-A| Primary MPTE'!M99*'Table 7-A| Primary APTE'!$C67/'Table 5-A| Primary MPTE'!$E99),0),'Table 6-B| Emission Limits'!K58)</f>
        <v>0</v>
      </c>
      <c r="L67" s="393">
        <f>IF('Table 6-B| Emission Limits'!L58=0,IFERROR(IFERROR(1-VLOOKUP('Table 6-A| Controls &amp; Limits'!$K75,'Emission Controls'!$A$20:$L$33,11,),1)*('Table 5-A| Primary MPTE'!N99*'Table 7-A| Primary APTE'!$C67/'Table 5-A| Primary MPTE'!$E99),0),'Table 6-B| Emission Limits'!L58)</f>
        <v>0</v>
      </c>
      <c r="M67" s="394">
        <f>IF('Table 6-B| Emission Limits'!M58=0,IFERROR(IFERROR(1-VLOOKUP('Table 6-A| Controls &amp; Limits'!$K75,'Emission Controls'!$A$20:$L$33,12,),1)*('Table 5-A| Primary MPTE'!O99*'Table 7-A| Primary APTE'!$C67/'Table 5-A| Primary MPTE'!$E99),0),'Table 6-B| Emission Limits'!M58)</f>
        <v>0</v>
      </c>
      <c r="S67" s="639"/>
      <c r="T67" s="640"/>
      <c r="U67" s="640"/>
      <c r="V67" s="640"/>
      <c r="W67" s="640"/>
      <c r="X67" s="640"/>
      <c r="Y67" s="640"/>
      <c r="Z67" s="640"/>
      <c r="AA67" s="641"/>
      <c r="AC67" s="639"/>
      <c r="AD67" s="640"/>
      <c r="AE67" s="640"/>
      <c r="AF67" s="640"/>
      <c r="AG67" s="640"/>
      <c r="AH67" s="640"/>
      <c r="AI67" s="640"/>
      <c r="AJ67" s="640"/>
      <c r="AK67" s="641"/>
      <c r="AM67" s="66"/>
      <c r="AN67" s="68"/>
      <c r="AO67" s="762"/>
      <c r="AP67" s="762"/>
      <c r="AQ67" s="762"/>
      <c r="AR67" s="762"/>
      <c r="AS67" s="762"/>
      <c r="AT67" s="762"/>
      <c r="AU67" s="762"/>
      <c r="AV67" s="629"/>
      <c r="AW67" s="629"/>
      <c r="AX67" s="756"/>
      <c r="AY67" s="781"/>
    </row>
    <row r="68" spans="1:51" ht="18" customHeight="1" x14ac:dyDescent="0.25">
      <c r="A68" s="630">
        <f>'Table 5-A| Primary MPTE'!A100</f>
        <v>0</v>
      </c>
      <c r="B68" s="626">
        <f>'Table 5-A| Primary MPTE'!B100</f>
        <v>0</v>
      </c>
      <c r="C68" s="631">
        <f>IFERROR(IF('Table 6-A| Controls &amp; Limits'!C76="Yes",'Table 6-A| Controls &amp; Limits'!E76,'Table 6-A| Controls &amp; Limits'!D76),0)</f>
        <v>0</v>
      </c>
      <c r="D68" s="625">
        <f>'Table 5-A| Primary MPTE'!D100</f>
        <v>0</v>
      </c>
      <c r="E68" s="632">
        <f>IF('Table 6-B| Emission Limits'!E59=0,IFERROR(IFERROR(1-VLOOKUP('Table 6-A| Controls &amp; Limits'!$K76,'Emission Controls'!$A$20:$L$33,4,),1)*('Table 5-A| Primary MPTE'!G100*'Table 7-A| Primary APTE'!$C68/'Table 5-A| Primary MPTE'!$E100),0),'Table 6-B| Emission Limits'!E59)</f>
        <v>0</v>
      </c>
      <c r="F68" s="633">
        <f>IF('Table 6-B| Emission Limits'!F59=0,IFERROR(IFERROR(1-VLOOKUP('Table 6-A| Controls &amp; Limits'!$K76,'Emission Controls'!$A$20:$L$33,5,),1)*('Table 5-A| Primary MPTE'!H100*'Table 7-A| Primary APTE'!$C68/'Table 5-A| Primary MPTE'!$E100),0),'Table 6-B| Emission Limits'!F59)</f>
        <v>0</v>
      </c>
      <c r="G68" s="633">
        <f>IF('Table 6-B| Emission Limits'!G59=0,IFERROR(IFERROR(1-VLOOKUP('Table 6-A| Controls &amp; Limits'!$K76,'Emission Controls'!$A$20:$L$33,6,),1)*('Table 5-A| Primary MPTE'!I100*'Table 7-A| Primary APTE'!$C68/'Table 5-A| Primary MPTE'!$E100),0),'Table 6-B| Emission Limits'!G59)</f>
        <v>0</v>
      </c>
      <c r="H68" s="633">
        <f>IF('Table 6-B| Emission Limits'!H59=0,IFERROR(IFERROR(1-VLOOKUP('Table 6-A| Controls &amp; Limits'!$K76,'Emission Controls'!$A$20:$L$33,7,),1)*('Table 5-A| Primary MPTE'!J100*'Table 7-A| Primary APTE'!$C68/'Table 5-A| Primary MPTE'!$E100),0),'Table 6-B| Emission Limits'!H59)</f>
        <v>0</v>
      </c>
      <c r="I68" s="633">
        <f>IF('Table 6-B| Emission Limits'!I59=0,IFERROR(IFERROR(1-VLOOKUP('Table 6-A| Controls &amp; Limits'!$K76,'Emission Controls'!$A$20:$L$33,8,),1)*('Table 5-A| Primary MPTE'!K100*'Table 7-A| Primary APTE'!$C68/'Table 5-A| Primary MPTE'!$E100),0),'Table 6-B| Emission Limits'!I59)</f>
        <v>0</v>
      </c>
      <c r="J68" s="633">
        <f>IF('Table 6-B| Emission Limits'!J59=0,IFERROR(IFERROR(1-VLOOKUP('Table 6-A| Controls &amp; Limits'!$K76,'Emission Controls'!$A$20:$L$33,9,),1)*('Table 5-A| Primary MPTE'!L100*'Table 7-A| Primary APTE'!$C68/'Table 5-A| Primary MPTE'!$E100),0),'Table 6-B| Emission Limits'!J59)</f>
        <v>0</v>
      </c>
      <c r="K68" s="633">
        <f>IF('Table 6-B| Emission Limits'!K59=0,IFERROR(IFERROR(1-VLOOKUP('Table 6-A| Controls &amp; Limits'!$K76,'Emission Controls'!$A$20:$L$33,10,),1)*('Table 5-A| Primary MPTE'!M100*'Table 7-A| Primary APTE'!$C68/'Table 5-A| Primary MPTE'!$E100),0),'Table 6-B| Emission Limits'!K59)</f>
        <v>0</v>
      </c>
      <c r="L68" s="633">
        <f>IF('Table 6-B| Emission Limits'!L59=0,IFERROR(IFERROR(1-VLOOKUP('Table 6-A| Controls &amp; Limits'!$K76,'Emission Controls'!$A$20:$L$33,11,),1)*('Table 5-A| Primary MPTE'!N100*'Table 7-A| Primary APTE'!$C68/'Table 5-A| Primary MPTE'!$E100),0),'Table 6-B| Emission Limits'!L59)</f>
        <v>0</v>
      </c>
      <c r="M68" s="634">
        <f>IF('Table 6-B| Emission Limits'!M59=0,IFERROR(IFERROR(1-VLOOKUP('Table 6-A| Controls &amp; Limits'!$K76,'Emission Controls'!$A$20:$L$33,12,),1)*('Table 5-A| Primary MPTE'!O100*'Table 7-A| Primary APTE'!$C68/'Table 5-A| Primary MPTE'!$E100),0),'Table 6-B| Emission Limits'!M59)</f>
        <v>0</v>
      </c>
      <c r="S68" s="639"/>
      <c r="T68" s="640"/>
      <c r="U68" s="640"/>
      <c r="V68" s="640"/>
      <c r="W68" s="640"/>
      <c r="X68" s="640"/>
      <c r="Y68" s="640"/>
      <c r="Z68" s="640"/>
      <c r="AA68" s="641"/>
      <c r="AC68" s="639"/>
      <c r="AD68" s="640"/>
      <c r="AE68" s="640"/>
      <c r="AF68" s="640"/>
      <c r="AG68" s="640"/>
      <c r="AH68" s="640"/>
      <c r="AI68" s="640"/>
      <c r="AJ68" s="640"/>
      <c r="AK68" s="641"/>
      <c r="AM68" s="66"/>
      <c r="AN68" s="68"/>
      <c r="AO68" s="762"/>
      <c r="AP68" s="762"/>
      <c r="AQ68" s="762"/>
      <c r="AR68" s="762"/>
      <c r="AS68" s="762"/>
      <c r="AT68" s="762"/>
      <c r="AU68" s="762"/>
      <c r="AV68" s="629"/>
      <c r="AW68" s="629"/>
      <c r="AX68" s="756"/>
      <c r="AY68" s="781"/>
    </row>
    <row r="69" spans="1:51" ht="18" customHeight="1" x14ac:dyDescent="0.25">
      <c r="A69" s="302">
        <f>'Table 5-A| Primary MPTE'!A101</f>
        <v>0</v>
      </c>
      <c r="B69" s="303">
        <f>'Table 5-A| Primary MPTE'!B101</f>
        <v>0</v>
      </c>
      <c r="C69" s="305">
        <f>IFERROR(IF('Table 6-A| Controls &amp; Limits'!C77="Yes",'Table 6-A| Controls &amp; Limits'!E77,'Table 6-A| Controls &amp; Limits'!D77),0)</f>
        <v>0</v>
      </c>
      <c r="D69" s="391">
        <f>'Table 5-A| Primary MPTE'!D101</f>
        <v>0</v>
      </c>
      <c r="E69" s="392">
        <f>IF('Table 6-B| Emission Limits'!E60=0,IFERROR(IFERROR(1-VLOOKUP('Table 6-A| Controls &amp; Limits'!$K77,'Emission Controls'!$A$20:$L$33,4,),1)*('Table 5-A| Primary MPTE'!G101*'Table 7-A| Primary APTE'!$C69/'Table 5-A| Primary MPTE'!$E101),0),'Table 6-B| Emission Limits'!E60)</f>
        <v>0</v>
      </c>
      <c r="F69" s="393">
        <f>IF('Table 6-B| Emission Limits'!F60=0,IFERROR(IFERROR(1-VLOOKUP('Table 6-A| Controls &amp; Limits'!$K77,'Emission Controls'!$A$20:$L$33,5,),1)*('Table 5-A| Primary MPTE'!H101*'Table 7-A| Primary APTE'!$C69/'Table 5-A| Primary MPTE'!$E101),0),'Table 6-B| Emission Limits'!F60)</f>
        <v>0</v>
      </c>
      <c r="G69" s="393">
        <f>IF('Table 6-B| Emission Limits'!G60=0,IFERROR(IFERROR(1-VLOOKUP('Table 6-A| Controls &amp; Limits'!$K77,'Emission Controls'!$A$20:$L$33,6,),1)*('Table 5-A| Primary MPTE'!I101*'Table 7-A| Primary APTE'!$C69/'Table 5-A| Primary MPTE'!$E101),0),'Table 6-B| Emission Limits'!G60)</f>
        <v>0</v>
      </c>
      <c r="H69" s="393">
        <f>IF('Table 6-B| Emission Limits'!H60=0,IFERROR(IFERROR(1-VLOOKUP('Table 6-A| Controls &amp; Limits'!$K77,'Emission Controls'!$A$20:$L$33,7,),1)*('Table 5-A| Primary MPTE'!J101*'Table 7-A| Primary APTE'!$C69/'Table 5-A| Primary MPTE'!$E101),0),'Table 6-B| Emission Limits'!H60)</f>
        <v>0</v>
      </c>
      <c r="I69" s="393">
        <f>IF('Table 6-B| Emission Limits'!I60=0,IFERROR(IFERROR(1-VLOOKUP('Table 6-A| Controls &amp; Limits'!$K77,'Emission Controls'!$A$20:$L$33,8,),1)*('Table 5-A| Primary MPTE'!K101*'Table 7-A| Primary APTE'!$C69/'Table 5-A| Primary MPTE'!$E101),0),'Table 6-B| Emission Limits'!I60)</f>
        <v>0</v>
      </c>
      <c r="J69" s="393">
        <f>IF('Table 6-B| Emission Limits'!J60=0,IFERROR(IFERROR(1-VLOOKUP('Table 6-A| Controls &amp; Limits'!$K77,'Emission Controls'!$A$20:$L$33,9,),1)*('Table 5-A| Primary MPTE'!L101*'Table 7-A| Primary APTE'!$C69/'Table 5-A| Primary MPTE'!$E101),0),'Table 6-B| Emission Limits'!J60)</f>
        <v>0</v>
      </c>
      <c r="K69" s="393">
        <f>IF('Table 6-B| Emission Limits'!K60=0,IFERROR(IFERROR(1-VLOOKUP('Table 6-A| Controls &amp; Limits'!$K77,'Emission Controls'!$A$20:$L$33,10,),1)*('Table 5-A| Primary MPTE'!M101*'Table 7-A| Primary APTE'!$C69/'Table 5-A| Primary MPTE'!$E101),0),'Table 6-B| Emission Limits'!K60)</f>
        <v>0</v>
      </c>
      <c r="L69" s="393">
        <f>IF('Table 6-B| Emission Limits'!L60=0,IFERROR(IFERROR(1-VLOOKUP('Table 6-A| Controls &amp; Limits'!$K77,'Emission Controls'!$A$20:$L$33,11,),1)*('Table 5-A| Primary MPTE'!N101*'Table 7-A| Primary APTE'!$C69/'Table 5-A| Primary MPTE'!$E101),0),'Table 6-B| Emission Limits'!L60)</f>
        <v>0</v>
      </c>
      <c r="M69" s="394">
        <f>IF('Table 6-B| Emission Limits'!M60=0,IFERROR(IFERROR(1-VLOOKUP('Table 6-A| Controls &amp; Limits'!$K77,'Emission Controls'!$A$20:$L$33,12,),1)*('Table 5-A| Primary MPTE'!O101*'Table 7-A| Primary APTE'!$C69/'Table 5-A| Primary MPTE'!$E101),0),'Table 6-B| Emission Limits'!M60)</f>
        <v>0</v>
      </c>
      <c r="S69" s="639"/>
      <c r="T69" s="640"/>
      <c r="U69" s="640"/>
      <c r="V69" s="640"/>
      <c r="W69" s="640"/>
      <c r="X69" s="640"/>
      <c r="Y69" s="640"/>
      <c r="Z69" s="640"/>
      <c r="AA69" s="641"/>
      <c r="AC69" s="639"/>
      <c r="AD69" s="640"/>
      <c r="AE69" s="640"/>
      <c r="AF69" s="640"/>
      <c r="AG69" s="640"/>
      <c r="AH69" s="640"/>
      <c r="AI69" s="640"/>
      <c r="AJ69" s="640"/>
      <c r="AK69" s="641"/>
      <c r="AM69" s="66"/>
      <c r="AN69" s="68"/>
      <c r="AO69" s="762"/>
      <c r="AP69" s="762"/>
      <c r="AQ69" s="762"/>
      <c r="AR69" s="762"/>
      <c r="AS69" s="762"/>
      <c r="AT69" s="762"/>
      <c r="AU69" s="762"/>
      <c r="AV69" s="629"/>
      <c r="AW69" s="629"/>
      <c r="AX69" s="756"/>
      <c r="AY69" s="781"/>
    </row>
    <row r="70" spans="1:51" ht="18" customHeight="1" x14ac:dyDescent="0.25">
      <c r="A70" s="302">
        <f>'Table 5-A| Primary MPTE'!A102</f>
        <v>0</v>
      </c>
      <c r="B70" s="303">
        <f>'Table 5-A| Primary MPTE'!B102</f>
        <v>0</v>
      </c>
      <c r="C70" s="305">
        <f>IFERROR(IF('Table 6-A| Controls &amp; Limits'!C78="Yes",'Table 6-A| Controls &amp; Limits'!E78,'Table 6-A| Controls &amp; Limits'!D78),0)</f>
        <v>0</v>
      </c>
      <c r="D70" s="391">
        <f>'Table 5-A| Primary MPTE'!D102</f>
        <v>0</v>
      </c>
      <c r="E70" s="392">
        <f>IF('Table 6-B| Emission Limits'!E61=0,IFERROR(IFERROR(1-VLOOKUP('Table 6-A| Controls &amp; Limits'!$K78,'Emission Controls'!$A$20:$L$33,4,),1)*('Table 5-A| Primary MPTE'!G102*'Table 7-A| Primary APTE'!$C70/'Table 5-A| Primary MPTE'!$E102),0),'Table 6-B| Emission Limits'!E61)</f>
        <v>0</v>
      </c>
      <c r="F70" s="393">
        <f>IF('Table 6-B| Emission Limits'!F61=0,IFERROR(IFERROR(1-VLOOKUP('Table 6-A| Controls &amp; Limits'!$K78,'Emission Controls'!$A$20:$L$33,5,),1)*('Table 5-A| Primary MPTE'!H102*'Table 7-A| Primary APTE'!$C70/'Table 5-A| Primary MPTE'!$E102),0),'Table 6-B| Emission Limits'!F61)</f>
        <v>0</v>
      </c>
      <c r="G70" s="393">
        <f>IF('Table 6-B| Emission Limits'!G61=0,IFERROR(IFERROR(1-VLOOKUP('Table 6-A| Controls &amp; Limits'!$K78,'Emission Controls'!$A$20:$L$33,6,),1)*('Table 5-A| Primary MPTE'!I102*'Table 7-A| Primary APTE'!$C70/'Table 5-A| Primary MPTE'!$E102),0),'Table 6-B| Emission Limits'!G61)</f>
        <v>0</v>
      </c>
      <c r="H70" s="393">
        <f>IF('Table 6-B| Emission Limits'!H61=0,IFERROR(IFERROR(1-VLOOKUP('Table 6-A| Controls &amp; Limits'!$K78,'Emission Controls'!$A$20:$L$33,7,),1)*('Table 5-A| Primary MPTE'!J102*'Table 7-A| Primary APTE'!$C70/'Table 5-A| Primary MPTE'!$E102),0),'Table 6-B| Emission Limits'!H61)</f>
        <v>0</v>
      </c>
      <c r="I70" s="393">
        <f>IF('Table 6-B| Emission Limits'!I61=0,IFERROR(IFERROR(1-VLOOKUP('Table 6-A| Controls &amp; Limits'!$K78,'Emission Controls'!$A$20:$L$33,8,),1)*('Table 5-A| Primary MPTE'!K102*'Table 7-A| Primary APTE'!$C70/'Table 5-A| Primary MPTE'!$E102),0),'Table 6-B| Emission Limits'!I61)</f>
        <v>0</v>
      </c>
      <c r="J70" s="393">
        <f>IF('Table 6-B| Emission Limits'!J61=0,IFERROR(IFERROR(1-VLOOKUP('Table 6-A| Controls &amp; Limits'!$K78,'Emission Controls'!$A$20:$L$33,9,),1)*('Table 5-A| Primary MPTE'!L102*'Table 7-A| Primary APTE'!$C70/'Table 5-A| Primary MPTE'!$E102),0),'Table 6-B| Emission Limits'!J61)</f>
        <v>0</v>
      </c>
      <c r="K70" s="393">
        <f>IF('Table 6-B| Emission Limits'!K61=0,IFERROR(IFERROR(1-VLOOKUP('Table 6-A| Controls &amp; Limits'!$K78,'Emission Controls'!$A$20:$L$33,10,),1)*('Table 5-A| Primary MPTE'!M102*'Table 7-A| Primary APTE'!$C70/'Table 5-A| Primary MPTE'!$E102),0),'Table 6-B| Emission Limits'!K61)</f>
        <v>0</v>
      </c>
      <c r="L70" s="393">
        <f>IF('Table 6-B| Emission Limits'!L61=0,IFERROR(IFERROR(1-VLOOKUP('Table 6-A| Controls &amp; Limits'!$K78,'Emission Controls'!$A$20:$L$33,11,),1)*('Table 5-A| Primary MPTE'!N102*'Table 7-A| Primary APTE'!$C70/'Table 5-A| Primary MPTE'!$E102),0),'Table 6-B| Emission Limits'!L61)</f>
        <v>0</v>
      </c>
      <c r="M70" s="394">
        <f>IF('Table 6-B| Emission Limits'!M61=0,IFERROR(IFERROR(1-VLOOKUP('Table 6-A| Controls &amp; Limits'!$K78,'Emission Controls'!$A$20:$L$33,12,),1)*('Table 5-A| Primary MPTE'!O102*'Table 7-A| Primary APTE'!$C70/'Table 5-A| Primary MPTE'!$E102),0),'Table 6-B| Emission Limits'!M61)</f>
        <v>0</v>
      </c>
      <c r="S70" s="639"/>
      <c r="T70" s="640"/>
      <c r="U70" s="640"/>
      <c r="V70" s="640"/>
      <c r="W70" s="640"/>
      <c r="X70" s="640"/>
      <c r="Y70" s="640"/>
      <c r="Z70" s="640"/>
      <c r="AA70" s="641"/>
      <c r="AC70" s="639"/>
      <c r="AD70" s="640"/>
      <c r="AE70" s="640"/>
      <c r="AF70" s="640"/>
      <c r="AG70" s="640"/>
      <c r="AH70" s="640"/>
      <c r="AI70" s="640"/>
      <c r="AJ70" s="640"/>
      <c r="AK70" s="641"/>
      <c r="AM70" s="66"/>
      <c r="AN70" s="68"/>
      <c r="AO70" s="762"/>
      <c r="AP70" s="762"/>
      <c r="AQ70" s="762"/>
      <c r="AR70" s="762"/>
      <c r="AS70" s="762"/>
      <c r="AT70" s="762"/>
      <c r="AU70" s="762"/>
      <c r="AV70" s="629"/>
      <c r="AW70" s="629"/>
      <c r="AX70" s="756"/>
      <c r="AY70" s="781"/>
    </row>
    <row r="71" spans="1:51" ht="18" customHeight="1" x14ac:dyDescent="0.25">
      <c r="A71" s="302">
        <f>'Table 5-A| Primary MPTE'!A103</f>
        <v>0</v>
      </c>
      <c r="B71" s="303">
        <f>'Table 5-A| Primary MPTE'!B103</f>
        <v>0</v>
      </c>
      <c r="C71" s="305">
        <f>IFERROR(IF('Table 6-A| Controls &amp; Limits'!C79="Yes",'Table 6-A| Controls &amp; Limits'!E79,'Table 6-A| Controls &amp; Limits'!D79),0)</f>
        <v>0</v>
      </c>
      <c r="D71" s="391">
        <f>'Table 5-A| Primary MPTE'!D103</f>
        <v>0</v>
      </c>
      <c r="E71" s="392">
        <f>IF('Table 6-B| Emission Limits'!E62=0,IFERROR(IFERROR(1-VLOOKUP('Table 6-A| Controls &amp; Limits'!$K79,'Emission Controls'!$A$20:$L$33,4,),1)*('Table 5-A| Primary MPTE'!G103*'Table 7-A| Primary APTE'!$C71/'Table 5-A| Primary MPTE'!$E103),0),'Table 6-B| Emission Limits'!E62)</f>
        <v>0</v>
      </c>
      <c r="F71" s="393">
        <f>IF('Table 6-B| Emission Limits'!F62=0,IFERROR(IFERROR(1-VLOOKUP('Table 6-A| Controls &amp; Limits'!$K79,'Emission Controls'!$A$20:$L$33,5,),1)*('Table 5-A| Primary MPTE'!H103*'Table 7-A| Primary APTE'!$C71/'Table 5-A| Primary MPTE'!$E103),0),'Table 6-B| Emission Limits'!F62)</f>
        <v>0</v>
      </c>
      <c r="G71" s="393">
        <f>IF('Table 6-B| Emission Limits'!G62=0,IFERROR(IFERROR(1-VLOOKUP('Table 6-A| Controls &amp; Limits'!$K79,'Emission Controls'!$A$20:$L$33,6,),1)*('Table 5-A| Primary MPTE'!I103*'Table 7-A| Primary APTE'!$C71/'Table 5-A| Primary MPTE'!$E103),0),'Table 6-B| Emission Limits'!G62)</f>
        <v>0</v>
      </c>
      <c r="H71" s="393">
        <f>IF('Table 6-B| Emission Limits'!H62=0,IFERROR(IFERROR(1-VLOOKUP('Table 6-A| Controls &amp; Limits'!$K79,'Emission Controls'!$A$20:$L$33,7,),1)*('Table 5-A| Primary MPTE'!J103*'Table 7-A| Primary APTE'!$C71/'Table 5-A| Primary MPTE'!$E103),0),'Table 6-B| Emission Limits'!H62)</f>
        <v>0</v>
      </c>
      <c r="I71" s="393">
        <f>IF('Table 6-B| Emission Limits'!I62=0,IFERROR(IFERROR(1-VLOOKUP('Table 6-A| Controls &amp; Limits'!$K79,'Emission Controls'!$A$20:$L$33,8,),1)*('Table 5-A| Primary MPTE'!K103*'Table 7-A| Primary APTE'!$C71/'Table 5-A| Primary MPTE'!$E103),0),'Table 6-B| Emission Limits'!I62)</f>
        <v>0</v>
      </c>
      <c r="J71" s="393">
        <f>IF('Table 6-B| Emission Limits'!J62=0,IFERROR(IFERROR(1-VLOOKUP('Table 6-A| Controls &amp; Limits'!$K79,'Emission Controls'!$A$20:$L$33,9,),1)*('Table 5-A| Primary MPTE'!L103*'Table 7-A| Primary APTE'!$C71/'Table 5-A| Primary MPTE'!$E103),0),'Table 6-B| Emission Limits'!J62)</f>
        <v>0</v>
      </c>
      <c r="K71" s="393">
        <f>IF('Table 6-B| Emission Limits'!K62=0,IFERROR(IFERROR(1-VLOOKUP('Table 6-A| Controls &amp; Limits'!$K79,'Emission Controls'!$A$20:$L$33,10,),1)*('Table 5-A| Primary MPTE'!M103*'Table 7-A| Primary APTE'!$C71/'Table 5-A| Primary MPTE'!$E103),0),'Table 6-B| Emission Limits'!K62)</f>
        <v>0</v>
      </c>
      <c r="L71" s="393">
        <f>IF('Table 6-B| Emission Limits'!L62=0,IFERROR(IFERROR(1-VLOOKUP('Table 6-A| Controls &amp; Limits'!$K79,'Emission Controls'!$A$20:$L$33,11,),1)*('Table 5-A| Primary MPTE'!N103*'Table 7-A| Primary APTE'!$C71/'Table 5-A| Primary MPTE'!$E103),0),'Table 6-B| Emission Limits'!L62)</f>
        <v>0</v>
      </c>
      <c r="M71" s="394">
        <f>IF('Table 6-B| Emission Limits'!M62=0,IFERROR(IFERROR(1-VLOOKUP('Table 6-A| Controls &amp; Limits'!$K79,'Emission Controls'!$A$20:$L$33,12,),1)*('Table 5-A| Primary MPTE'!O103*'Table 7-A| Primary APTE'!$C71/'Table 5-A| Primary MPTE'!$E103),0),'Table 6-B| Emission Limits'!M62)</f>
        <v>0</v>
      </c>
      <c r="S71" s="639"/>
      <c r="T71" s="640"/>
      <c r="U71" s="640"/>
      <c r="V71" s="640"/>
      <c r="W71" s="640"/>
      <c r="X71" s="640"/>
      <c r="Y71" s="640"/>
      <c r="Z71" s="640"/>
      <c r="AA71" s="641"/>
      <c r="AC71" s="639"/>
      <c r="AD71" s="640"/>
      <c r="AE71" s="640"/>
      <c r="AF71" s="640"/>
      <c r="AG71" s="640"/>
      <c r="AH71" s="640"/>
      <c r="AI71" s="640"/>
      <c r="AJ71" s="640"/>
      <c r="AK71" s="641"/>
      <c r="AM71" s="66"/>
      <c r="AN71" s="68"/>
      <c r="AO71" s="762"/>
      <c r="AP71" s="762"/>
      <c r="AQ71" s="762"/>
      <c r="AR71" s="762"/>
      <c r="AS71" s="762"/>
      <c r="AT71" s="762"/>
      <c r="AU71" s="762"/>
      <c r="AV71" s="629"/>
      <c r="AW71" s="629"/>
      <c r="AX71" s="756"/>
      <c r="AY71" s="781"/>
    </row>
    <row r="72" spans="1:51" ht="18" customHeight="1" x14ac:dyDescent="0.25">
      <c r="A72" s="302">
        <f>'Table 5-A| Primary MPTE'!A104</f>
        <v>0</v>
      </c>
      <c r="B72" s="303">
        <f>'Table 5-A| Primary MPTE'!B104</f>
        <v>0</v>
      </c>
      <c r="C72" s="305">
        <f>IFERROR(IF('Table 6-A| Controls &amp; Limits'!C80="Yes",'Table 6-A| Controls &amp; Limits'!E80,'Table 6-A| Controls &amp; Limits'!D80),0)</f>
        <v>0</v>
      </c>
      <c r="D72" s="391">
        <f>'Table 5-A| Primary MPTE'!D104</f>
        <v>0</v>
      </c>
      <c r="E72" s="392">
        <f>IF('Table 6-B| Emission Limits'!E63=0,IFERROR(IFERROR(1-VLOOKUP('Table 6-A| Controls &amp; Limits'!$K80,'Emission Controls'!$A$20:$L$33,4,),1)*('Table 5-A| Primary MPTE'!G104*'Table 7-A| Primary APTE'!$C72/'Table 5-A| Primary MPTE'!$E104),0),'Table 6-B| Emission Limits'!E63)</f>
        <v>0</v>
      </c>
      <c r="F72" s="393">
        <f>IF('Table 6-B| Emission Limits'!F63=0,IFERROR(IFERROR(1-VLOOKUP('Table 6-A| Controls &amp; Limits'!$K80,'Emission Controls'!$A$20:$L$33,5,),1)*('Table 5-A| Primary MPTE'!H104*'Table 7-A| Primary APTE'!$C72/'Table 5-A| Primary MPTE'!$E104),0),'Table 6-B| Emission Limits'!F63)</f>
        <v>0</v>
      </c>
      <c r="G72" s="393">
        <f>IF('Table 6-B| Emission Limits'!G63=0,IFERROR(IFERROR(1-VLOOKUP('Table 6-A| Controls &amp; Limits'!$K80,'Emission Controls'!$A$20:$L$33,6,),1)*('Table 5-A| Primary MPTE'!I104*'Table 7-A| Primary APTE'!$C72/'Table 5-A| Primary MPTE'!$E104),0),'Table 6-B| Emission Limits'!G63)</f>
        <v>0</v>
      </c>
      <c r="H72" s="393">
        <f>IF('Table 6-B| Emission Limits'!H63=0,IFERROR(IFERROR(1-VLOOKUP('Table 6-A| Controls &amp; Limits'!$K80,'Emission Controls'!$A$20:$L$33,7,),1)*('Table 5-A| Primary MPTE'!J104*'Table 7-A| Primary APTE'!$C72/'Table 5-A| Primary MPTE'!$E104),0),'Table 6-B| Emission Limits'!H63)</f>
        <v>0</v>
      </c>
      <c r="I72" s="393">
        <f>IF('Table 6-B| Emission Limits'!I63=0,IFERROR(IFERROR(1-VLOOKUP('Table 6-A| Controls &amp; Limits'!$K80,'Emission Controls'!$A$20:$L$33,8,),1)*('Table 5-A| Primary MPTE'!K104*'Table 7-A| Primary APTE'!$C72/'Table 5-A| Primary MPTE'!$E104),0),'Table 6-B| Emission Limits'!I63)</f>
        <v>0</v>
      </c>
      <c r="J72" s="393">
        <f>IF('Table 6-B| Emission Limits'!J63=0,IFERROR(IFERROR(1-VLOOKUP('Table 6-A| Controls &amp; Limits'!$K80,'Emission Controls'!$A$20:$L$33,9,),1)*('Table 5-A| Primary MPTE'!L104*'Table 7-A| Primary APTE'!$C72/'Table 5-A| Primary MPTE'!$E104),0),'Table 6-B| Emission Limits'!J63)</f>
        <v>0</v>
      </c>
      <c r="K72" s="393">
        <f>IF('Table 6-B| Emission Limits'!K63=0,IFERROR(IFERROR(1-VLOOKUP('Table 6-A| Controls &amp; Limits'!$K80,'Emission Controls'!$A$20:$L$33,10,),1)*('Table 5-A| Primary MPTE'!M104*'Table 7-A| Primary APTE'!$C72/'Table 5-A| Primary MPTE'!$E104),0),'Table 6-B| Emission Limits'!K63)</f>
        <v>0</v>
      </c>
      <c r="L72" s="393">
        <f>IF('Table 6-B| Emission Limits'!L63=0,IFERROR(IFERROR(1-VLOOKUP('Table 6-A| Controls &amp; Limits'!$K80,'Emission Controls'!$A$20:$L$33,11,),1)*('Table 5-A| Primary MPTE'!N104*'Table 7-A| Primary APTE'!$C72/'Table 5-A| Primary MPTE'!$E104),0),'Table 6-B| Emission Limits'!L63)</f>
        <v>0</v>
      </c>
      <c r="M72" s="394">
        <f>IF('Table 6-B| Emission Limits'!M63=0,IFERROR(IFERROR(1-VLOOKUP('Table 6-A| Controls &amp; Limits'!$K80,'Emission Controls'!$A$20:$L$33,12,),1)*('Table 5-A| Primary MPTE'!O104*'Table 7-A| Primary APTE'!$C72/'Table 5-A| Primary MPTE'!$E104),0),'Table 6-B| Emission Limits'!M63)</f>
        <v>0</v>
      </c>
      <c r="S72" s="639"/>
      <c r="T72" s="640"/>
      <c r="U72" s="640"/>
      <c r="V72" s="640"/>
      <c r="W72" s="640"/>
      <c r="X72" s="640"/>
      <c r="Y72" s="640"/>
      <c r="Z72" s="640"/>
      <c r="AA72" s="641"/>
      <c r="AC72" s="639"/>
      <c r="AD72" s="640"/>
      <c r="AE72" s="640"/>
      <c r="AF72" s="640"/>
      <c r="AG72" s="640"/>
      <c r="AH72" s="640"/>
      <c r="AI72" s="640"/>
      <c r="AJ72" s="640"/>
      <c r="AK72" s="641"/>
      <c r="AM72" s="66"/>
      <c r="AN72" s="68"/>
      <c r="AO72" s="762"/>
      <c r="AP72" s="762"/>
      <c r="AQ72" s="762"/>
      <c r="AR72" s="762"/>
      <c r="AS72" s="762"/>
      <c r="AT72" s="762"/>
      <c r="AU72" s="762"/>
      <c r="AV72" s="629"/>
      <c r="AW72" s="629"/>
      <c r="AX72" s="756"/>
      <c r="AY72" s="781"/>
    </row>
    <row r="73" spans="1:51" ht="18" customHeight="1" x14ac:dyDescent="0.25">
      <c r="A73" s="302">
        <f>'Table 5-A| Primary MPTE'!A105</f>
        <v>0</v>
      </c>
      <c r="B73" s="303">
        <f>'Table 5-A| Primary MPTE'!B105</f>
        <v>0</v>
      </c>
      <c r="C73" s="305">
        <f>IFERROR(IF('Table 6-A| Controls &amp; Limits'!C81="Yes",'Table 6-A| Controls &amp; Limits'!E81,'Table 6-A| Controls &amp; Limits'!D81),0)</f>
        <v>0</v>
      </c>
      <c r="D73" s="391">
        <f>'Table 5-A| Primary MPTE'!D105</f>
        <v>0</v>
      </c>
      <c r="E73" s="392">
        <f>IF('Table 6-B| Emission Limits'!E64=0,IFERROR(IFERROR(1-VLOOKUP('Table 6-A| Controls &amp; Limits'!$K81,'Emission Controls'!$A$20:$L$33,4,),1)*('Table 5-A| Primary MPTE'!G105*'Table 7-A| Primary APTE'!$C73/'Table 5-A| Primary MPTE'!$E105),0),'Table 6-B| Emission Limits'!E64)</f>
        <v>0</v>
      </c>
      <c r="F73" s="393">
        <f>IF('Table 6-B| Emission Limits'!F64=0,IFERROR(IFERROR(1-VLOOKUP('Table 6-A| Controls &amp; Limits'!$K81,'Emission Controls'!$A$20:$L$33,5,),1)*('Table 5-A| Primary MPTE'!H105*'Table 7-A| Primary APTE'!$C73/'Table 5-A| Primary MPTE'!$E105),0),'Table 6-B| Emission Limits'!F64)</f>
        <v>0</v>
      </c>
      <c r="G73" s="393">
        <f>IF('Table 6-B| Emission Limits'!G64=0,IFERROR(IFERROR(1-VLOOKUP('Table 6-A| Controls &amp; Limits'!$K81,'Emission Controls'!$A$20:$L$33,6,),1)*('Table 5-A| Primary MPTE'!I105*'Table 7-A| Primary APTE'!$C73/'Table 5-A| Primary MPTE'!$E105),0),'Table 6-B| Emission Limits'!G64)</f>
        <v>0</v>
      </c>
      <c r="H73" s="393">
        <f>IF('Table 6-B| Emission Limits'!H64=0,IFERROR(IFERROR(1-VLOOKUP('Table 6-A| Controls &amp; Limits'!$K81,'Emission Controls'!$A$20:$L$33,7,),1)*('Table 5-A| Primary MPTE'!J105*'Table 7-A| Primary APTE'!$C73/'Table 5-A| Primary MPTE'!$E105),0),'Table 6-B| Emission Limits'!H64)</f>
        <v>0</v>
      </c>
      <c r="I73" s="393">
        <f>IF('Table 6-B| Emission Limits'!I64=0,IFERROR(IFERROR(1-VLOOKUP('Table 6-A| Controls &amp; Limits'!$K81,'Emission Controls'!$A$20:$L$33,8,),1)*('Table 5-A| Primary MPTE'!K105*'Table 7-A| Primary APTE'!$C73/'Table 5-A| Primary MPTE'!$E105),0),'Table 6-B| Emission Limits'!I64)</f>
        <v>0</v>
      </c>
      <c r="J73" s="393">
        <f>IF('Table 6-B| Emission Limits'!J64=0,IFERROR(IFERROR(1-VLOOKUP('Table 6-A| Controls &amp; Limits'!$K81,'Emission Controls'!$A$20:$L$33,9,),1)*('Table 5-A| Primary MPTE'!L105*'Table 7-A| Primary APTE'!$C73/'Table 5-A| Primary MPTE'!$E105),0),'Table 6-B| Emission Limits'!J64)</f>
        <v>0</v>
      </c>
      <c r="K73" s="393">
        <f>IF('Table 6-B| Emission Limits'!K64=0,IFERROR(IFERROR(1-VLOOKUP('Table 6-A| Controls &amp; Limits'!$K81,'Emission Controls'!$A$20:$L$33,10,),1)*('Table 5-A| Primary MPTE'!M105*'Table 7-A| Primary APTE'!$C73/'Table 5-A| Primary MPTE'!$E105),0),'Table 6-B| Emission Limits'!K64)</f>
        <v>0</v>
      </c>
      <c r="L73" s="393">
        <f>IF('Table 6-B| Emission Limits'!L64=0,IFERROR(IFERROR(1-VLOOKUP('Table 6-A| Controls &amp; Limits'!$K81,'Emission Controls'!$A$20:$L$33,11,),1)*('Table 5-A| Primary MPTE'!N105*'Table 7-A| Primary APTE'!$C73/'Table 5-A| Primary MPTE'!$E105),0),'Table 6-B| Emission Limits'!L64)</f>
        <v>0</v>
      </c>
      <c r="M73" s="394">
        <f>IF('Table 6-B| Emission Limits'!M64=0,IFERROR(IFERROR(1-VLOOKUP('Table 6-A| Controls &amp; Limits'!$K81,'Emission Controls'!$A$20:$L$33,12,),1)*('Table 5-A| Primary MPTE'!O105*'Table 7-A| Primary APTE'!$C73/'Table 5-A| Primary MPTE'!$E105),0),'Table 6-B| Emission Limits'!M64)</f>
        <v>0</v>
      </c>
      <c r="S73" s="639"/>
      <c r="T73" s="640"/>
      <c r="U73" s="640"/>
      <c r="V73" s="640"/>
      <c r="W73" s="640"/>
      <c r="X73" s="640"/>
      <c r="Y73" s="640"/>
      <c r="Z73" s="640"/>
      <c r="AA73" s="641"/>
      <c r="AC73" s="639"/>
      <c r="AD73" s="640"/>
      <c r="AE73" s="640"/>
      <c r="AF73" s="640"/>
      <c r="AG73" s="640"/>
      <c r="AH73" s="640"/>
      <c r="AI73" s="640"/>
      <c r="AJ73" s="640"/>
      <c r="AK73" s="641"/>
      <c r="AM73" s="66"/>
      <c r="AN73" s="68"/>
      <c r="AO73" s="762"/>
      <c r="AP73" s="762"/>
      <c r="AQ73" s="762"/>
      <c r="AR73" s="762"/>
      <c r="AS73" s="762"/>
      <c r="AT73" s="762"/>
      <c r="AU73" s="762"/>
      <c r="AV73" s="629"/>
      <c r="AW73" s="629"/>
      <c r="AX73" s="756"/>
      <c r="AY73" s="781"/>
    </row>
    <row r="74" spans="1:51" ht="18" customHeight="1" x14ac:dyDescent="0.25">
      <c r="A74" s="302">
        <f>'Table 5-A| Primary MPTE'!A106</f>
        <v>0</v>
      </c>
      <c r="B74" s="303">
        <f>'Table 5-A| Primary MPTE'!B106</f>
        <v>0</v>
      </c>
      <c r="C74" s="305">
        <f>IFERROR(IF('Table 6-A| Controls &amp; Limits'!C82="Yes",'Table 6-A| Controls &amp; Limits'!E82,'Table 6-A| Controls &amp; Limits'!D82),0)</f>
        <v>0</v>
      </c>
      <c r="D74" s="391">
        <f>'Table 5-A| Primary MPTE'!D106</f>
        <v>0</v>
      </c>
      <c r="E74" s="392">
        <f>IF('Table 6-B| Emission Limits'!E65=0,IFERROR(IFERROR(1-VLOOKUP('Table 6-A| Controls &amp; Limits'!$K82,'Emission Controls'!$A$20:$L$33,4,),1)*('Table 5-A| Primary MPTE'!G106*'Table 7-A| Primary APTE'!$C74/'Table 5-A| Primary MPTE'!$E106),0),'Table 6-B| Emission Limits'!E65)</f>
        <v>0</v>
      </c>
      <c r="F74" s="393">
        <f>IF('Table 6-B| Emission Limits'!F65=0,IFERROR(IFERROR(1-VLOOKUP('Table 6-A| Controls &amp; Limits'!$K82,'Emission Controls'!$A$20:$L$33,5,),1)*('Table 5-A| Primary MPTE'!H106*'Table 7-A| Primary APTE'!$C74/'Table 5-A| Primary MPTE'!$E106),0),'Table 6-B| Emission Limits'!F65)</f>
        <v>0</v>
      </c>
      <c r="G74" s="393">
        <f>IF('Table 6-B| Emission Limits'!G65=0,IFERROR(IFERROR(1-VLOOKUP('Table 6-A| Controls &amp; Limits'!$K82,'Emission Controls'!$A$20:$L$33,6,),1)*('Table 5-A| Primary MPTE'!I106*'Table 7-A| Primary APTE'!$C74/'Table 5-A| Primary MPTE'!$E106),0),'Table 6-B| Emission Limits'!G65)</f>
        <v>0</v>
      </c>
      <c r="H74" s="393">
        <f>IF('Table 6-B| Emission Limits'!H65=0,IFERROR(IFERROR(1-VLOOKUP('Table 6-A| Controls &amp; Limits'!$K82,'Emission Controls'!$A$20:$L$33,7,),1)*('Table 5-A| Primary MPTE'!J106*'Table 7-A| Primary APTE'!$C74/'Table 5-A| Primary MPTE'!$E106),0),'Table 6-B| Emission Limits'!H65)</f>
        <v>0</v>
      </c>
      <c r="I74" s="393">
        <f>IF('Table 6-B| Emission Limits'!I65=0,IFERROR(IFERROR(1-VLOOKUP('Table 6-A| Controls &amp; Limits'!$K82,'Emission Controls'!$A$20:$L$33,8,),1)*('Table 5-A| Primary MPTE'!K106*'Table 7-A| Primary APTE'!$C74/'Table 5-A| Primary MPTE'!$E106),0),'Table 6-B| Emission Limits'!I65)</f>
        <v>0</v>
      </c>
      <c r="J74" s="393">
        <f>IF('Table 6-B| Emission Limits'!J65=0,IFERROR(IFERROR(1-VLOOKUP('Table 6-A| Controls &amp; Limits'!$K82,'Emission Controls'!$A$20:$L$33,9,),1)*('Table 5-A| Primary MPTE'!L106*'Table 7-A| Primary APTE'!$C74/'Table 5-A| Primary MPTE'!$E106),0),'Table 6-B| Emission Limits'!J65)</f>
        <v>0</v>
      </c>
      <c r="K74" s="393">
        <f>IF('Table 6-B| Emission Limits'!K65=0,IFERROR(IFERROR(1-VLOOKUP('Table 6-A| Controls &amp; Limits'!$K82,'Emission Controls'!$A$20:$L$33,10,),1)*('Table 5-A| Primary MPTE'!M106*'Table 7-A| Primary APTE'!$C74/'Table 5-A| Primary MPTE'!$E106),0),'Table 6-B| Emission Limits'!K65)</f>
        <v>0</v>
      </c>
      <c r="L74" s="393">
        <f>IF('Table 6-B| Emission Limits'!L65=0,IFERROR(IFERROR(1-VLOOKUP('Table 6-A| Controls &amp; Limits'!$K82,'Emission Controls'!$A$20:$L$33,11,),1)*('Table 5-A| Primary MPTE'!N106*'Table 7-A| Primary APTE'!$C74/'Table 5-A| Primary MPTE'!$E106),0),'Table 6-B| Emission Limits'!L65)</f>
        <v>0</v>
      </c>
      <c r="M74" s="394">
        <f>IF('Table 6-B| Emission Limits'!M65=0,IFERROR(IFERROR(1-VLOOKUP('Table 6-A| Controls &amp; Limits'!$K82,'Emission Controls'!$A$20:$L$33,12,),1)*('Table 5-A| Primary MPTE'!O106*'Table 7-A| Primary APTE'!$C74/'Table 5-A| Primary MPTE'!$E106),0),'Table 6-B| Emission Limits'!M65)</f>
        <v>0</v>
      </c>
      <c r="S74" s="639"/>
      <c r="T74" s="640"/>
      <c r="U74" s="640"/>
      <c r="V74" s="640"/>
      <c r="W74" s="640"/>
      <c r="X74" s="640"/>
      <c r="Y74" s="640"/>
      <c r="Z74" s="640"/>
      <c r="AA74" s="641"/>
      <c r="AC74" s="639"/>
      <c r="AD74" s="640"/>
      <c r="AE74" s="640"/>
      <c r="AF74" s="640"/>
      <c r="AG74" s="640"/>
      <c r="AH74" s="640"/>
      <c r="AI74" s="640"/>
      <c r="AJ74" s="640"/>
      <c r="AK74" s="641"/>
      <c r="AM74" s="66"/>
      <c r="AN74" s="68"/>
      <c r="AO74" s="762"/>
      <c r="AP74" s="762"/>
      <c r="AQ74" s="762"/>
      <c r="AR74" s="762"/>
      <c r="AS74" s="762"/>
      <c r="AT74" s="762"/>
      <c r="AU74" s="762"/>
      <c r="AV74" s="629"/>
      <c r="AW74" s="629"/>
      <c r="AX74" s="756"/>
      <c r="AY74" s="781"/>
    </row>
    <row r="75" spans="1:51" ht="18" customHeight="1" x14ac:dyDescent="0.25">
      <c r="A75" s="302">
        <f>'Table 5-A| Primary MPTE'!A107</f>
        <v>0</v>
      </c>
      <c r="B75" s="303">
        <f>'Table 5-A| Primary MPTE'!B107</f>
        <v>0</v>
      </c>
      <c r="C75" s="305">
        <f>IFERROR(IF('Table 6-A| Controls &amp; Limits'!C83="Yes",'Table 6-A| Controls &amp; Limits'!E83,'Table 6-A| Controls &amp; Limits'!D83),0)</f>
        <v>0</v>
      </c>
      <c r="D75" s="391">
        <f>'Table 5-A| Primary MPTE'!D107</f>
        <v>0</v>
      </c>
      <c r="E75" s="392">
        <f>IF('Table 6-B| Emission Limits'!E66=0,IFERROR(IFERROR(1-VLOOKUP('Table 6-A| Controls &amp; Limits'!$K83,'Emission Controls'!$A$20:$L$33,4,),1)*('Table 5-A| Primary MPTE'!G107*'Table 7-A| Primary APTE'!$C75/'Table 5-A| Primary MPTE'!$E107),0),'Table 6-B| Emission Limits'!E66)</f>
        <v>0</v>
      </c>
      <c r="F75" s="393">
        <f>IF('Table 6-B| Emission Limits'!F66=0,IFERROR(IFERROR(1-VLOOKUP('Table 6-A| Controls &amp; Limits'!$K83,'Emission Controls'!$A$20:$L$33,5,),1)*('Table 5-A| Primary MPTE'!H107*'Table 7-A| Primary APTE'!$C75/'Table 5-A| Primary MPTE'!$E107),0),'Table 6-B| Emission Limits'!F66)</f>
        <v>0</v>
      </c>
      <c r="G75" s="393">
        <f>IF('Table 6-B| Emission Limits'!G66=0,IFERROR(IFERROR(1-VLOOKUP('Table 6-A| Controls &amp; Limits'!$K83,'Emission Controls'!$A$20:$L$33,6,),1)*('Table 5-A| Primary MPTE'!I107*'Table 7-A| Primary APTE'!$C75/'Table 5-A| Primary MPTE'!$E107),0),'Table 6-B| Emission Limits'!G66)</f>
        <v>0</v>
      </c>
      <c r="H75" s="393">
        <f>IF('Table 6-B| Emission Limits'!H66=0,IFERROR(IFERROR(1-VLOOKUP('Table 6-A| Controls &amp; Limits'!$K83,'Emission Controls'!$A$20:$L$33,7,),1)*('Table 5-A| Primary MPTE'!J107*'Table 7-A| Primary APTE'!$C75/'Table 5-A| Primary MPTE'!$E107),0),'Table 6-B| Emission Limits'!H66)</f>
        <v>0</v>
      </c>
      <c r="I75" s="393">
        <f>IF('Table 6-B| Emission Limits'!I66=0,IFERROR(IFERROR(1-VLOOKUP('Table 6-A| Controls &amp; Limits'!$K83,'Emission Controls'!$A$20:$L$33,8,),1)*('Table 5-A| Primary MPTE'!K107*'Table 7-A| Primary APTE'!$C75/'Table 5-A| Primary MPTE'!$E107),0),'Table 6-B| Emission Limits'!I66)</f>
        <v>0</v>
      </c>
      <c r="J75" s="393">
        <f>IF('Table 6-B| Emission Limits'!J66=0,IFERROR(IFERROR(1-VLOOKUP('Table 6-A| Controls &amp; Limits'!$K83,'Emission Controls'!$A$20:$L$33,9,),1)*('Table 5-A| Primary MPTE'!L107*'Table 7-A| Primary APTE'!$C75/'Table 5-A| Primary MPTE'!$E107),0),'Table 6-B| Emission Limits'!J66)</f>
        <v>0</v>
      </c>
      <c r="K75" s="393">
        <f>IF('Table 6-B| Emission Limits'!K66=0,IFERROR(IFERROR(1-VLOOKUP('Table 6-A| Controls &amp; Limits'!$K83,'Emission Controls'!$A$20:$L$33,10,),1)*('Table 5-A| Primary MPTE'!M107*'Table 7-A| Primary APTE'!$C75/'Table 5-A| Primary MPTE'!$E107),0),'Table 6-B| Emission Limits'!K66)</f>
        <v>0</v>
      </c>
      <c r="L75" s="393">
        <f>IF('Table 6-B| Emission Limits'!L66=0,IFERROR(IFERROR(1-VLOOKUP('Table 6-A| Controls &amp; Limits'!$K83,'Emission Controls'!$A$20:$L$33,11,),1)*('Table 5-A| Primary MPTE'!N107*'Table 7-A| Primary APTE'!$C75/'Table 5-A| Primary MPTE'!$E107),0),'Table 6-B| Emission Limits'!L66)</f>
        <v>0</v>
      </c>
      <c r="M75" s="394">
        <f>IF('Table 6-B| Emission Limits'!M66=0,IFERROR(IFERROR(1-VLOOKUP('Table 6-A| Controls &amp; Limits'!$K83,'Emission Controls'!$A$20:$L$33,12,),1)*('Table 5-A| Primary MPTE'!O107*'Table 7-A| Primary APTE'!$C75/'Table 5-A| Primary MPTE'!$E107),0),'Table 6-B| Emission Limits'!M66)</f>
        <v>0</v>
      </c>
      <c r="S75" s="639"/>
      <c r="T75" s="640"/>
      <c r="U75" s="640"/>
      <c r="V75" s="640"/>
      <c r="W75" s="640"/>
      <c r="X75" s="640"/>
      <c r="Y75" s="640"/>
      <c r="Z75" s="640"/>
      <c r="AA75" s="641"/>
      <c r="AC75" s="639"/>
      <c r="AD75" s="640"/>
      <c r="AE75" s="640"/>
      <c r="AF75" s="640"/>
      <c r="AG75" s="640"/>
      <c r="AH75" s="640"/>
      <c r="AI75" s="640"/>
      <c r="AJ75" s="640"/>
      <c r="AK75" s="641"/>
      <c r="AM75" s="66"/>
      <c r="AN75" s="68"/>
      <c r="AO75" s="762"/>
      <c r="AP75" s="762"/>
      <c r="AQ75" s="762"/>
      <c r="AR75" s="762"/>
      <c r="AS75" s="762"/>
      <c r="AT75" s="762"/>
      <c r="AU75" s="762"/>
      <c r="AV75" s="629"/>
      <c r="AW75" s="629"/>
      <c r="AX75" s="756"/>
      <c r="AY75" s="781"/>
    </row>
    <row r="76" spans="1:51" ht="18" customHeight="1" thickBot="1" x14ac:dyDescent="0.3">
      <c r="A76" s="309">
        <f>'Table 5-A| Primary MPTE'!A108</f>
        <v>0</v>
      </c>
      <c r="B76" s="310">
        <f>'Table 5-A| Primary MPTE'!B108</f>
        <v>0</v>
      </c>
      <c r="C76" s="312">
        <f>IFERROR(IF('Table 6-A| Controls &amp; Limits'!C84="Yes",'Table 6-A| Controls &amp; Limits'!E84,'Table 6-A| Controls &amp; Limits'!D84),0)</f>
        <v>0</v>
      </c>
      <c r="D76" s="395">
        <f>'Table 5-A| Primary MPTE'!D108</f>
        <v>0</v>
      </c>
      <c r="E76" s="396">
        <f>IF('Table 6-B| Emission Limits'!E67=0,IFERROR(IFERROR(1-VLOOKUP('Table 6-A| Controls &amp; Limits'!$K84,'Emission Controls'!$A$20:$L$33,4,),1)*('Table 5-A| Primary MPTE'!G108*'Table 7-A| Primary APTE'!$C76/'Table 5-A| Primary MPTE'!$E108),0),'Table 6-B| Emission Limits'!E67)</f>
        <v>0</v>
      </c>
      <c r="F76" s="397">
        <f>IF('Table 6-B| Emission Limits'!F67=0,IFERROR(IFERROR(1-VLOOKUP('Table 6-A| Controls &amp; Limits'!$K84,'Emission Controls'!$A$20:$L$33,5,),1)*('Table 5-A| Primary MPTE'!H108*'Table 7-A| Primary APTE'!$C76/'Table 5-A| Primary MPTE'!$E108),0),'Table 6-B| Emission Limits'!F67)</f>
        <v>0</v>
      </c>
      <c r="G76" s="397">
        <f>IF('Table 6-B| Emission Limits'!G67=0,IFERROR(IFERROR(1-VLOOKUP('Table 6-A| Controls &amp; Limits'!$K84,'Emission Controls'!$A$20:$L$33,6,),1)*('Table 5-A| Primary MPTE'!I108*'Table 7-A| Primary APTE'!$C76/'Table 5-A| Primary MPTE'!$E108),0),'Table 6-B| Emission Limits'!G67)</f>
        <v>0</v>
      </c>
      <c r="H76" s="397">
        <f>IF('Table 6-B| Emission Limits'!H67=0,IFERROR(IFERROR(1-VLOOKUP('Table 6-A| Controls &amp; Limits'!$K84,'Emission Controls'!$A$20:$L$33,7,),1)*('Table 5-A| Primary MPTE'!J108*'Table 7-A| Primary APTE'!$C76/'Table 5-A| Primary MPTE'!$E108),0),'Table 6-B| Emission Limits'!H67)</f>
        <v>0</v>
      </c>
      <c r="I76" s="397">
        <f>IF('Table 6-B| Emission Limits'!I67=0,IFERROR(IFERROR(1-VLOOKUP('Table 6-A| Controls &amp; Limits'!$K84,'Emission Controls'!$A$20:$L$33,8,),1)*('Table 5-A| Primary MPTE'!K108*'Table 7-A| Primary APTE'!$C76/'Table 5-A| Primary MPTE'!$E108),0),'Table 6-B| Emission Limits'!I67)</f>
        <v>0</v>
      </c>
      <c r="J76" s="397">
        <f>IF('Table 6-B| Emission Limits'!J67=0,IFERROR(IFERROR(1-VLOOKUP('Table 6-A| Controls &amp; Limits'!$K84,'Emission Controls'!$A$20:$L$33,9,),1)*('Table 5-A| Primary MPTE'!L108*'Table 7-A| Primary APTE'!$C76/'Table 5-A| Primary MPTE'!$E108),0),'Table 6-B| Emission Limits'!J67)</f>
        <v>0</v>
      </c>
      <c r="K76" s="397">
        <f>IF('Table 6-B| Emission Limits'!K67=0,IFERROR(IFERROR(1-VLOOKUP('Table 6-A| Controls &amp; Limits'!$K84,'Emission Controls'!$A$20:$L$33,10,),1)*('Table 5-A| Primary MPTE'!M108*'Table 7-A| Primary APTE'!$C76/'Table 5-A| Primary MPTE'!$E108),0),'Table 6-B| Emission Limits'!K67)</f>
        <v>0</v>
      </c>
      <c r="L76" s="397">
        <f>IF('Table 6-B| Emission Limits'!L67=0,IFERROR(IFERROR(1-VLOOKUP('Table 6-A| Controls &amp; Limits'!$K84,'Emission Controls'!$A$20:$L$33,11,),1)*('Table 5-A| Primary MPTE'!N108*'Table 7-A| Primary APTE'!$C76/'Table 5-A| Primary MPTE'!$E108),0),'Table 6-B| Emission Limits'!L67)</f>
        <v>0</v>
      </c>
      <c r="M76" s="398">
        <f>IF('Table 6-B| Emission Limits'!M67=0,IFERROR(IFERROR(1-VLOOKUP('Table 6-A| Controls &amp; Limits'!$K84,'Emission Controls'!$A$20:$L$33,12,),1)*('Table 5-A| Primary MPTE'!O108*'Table 7-A| Primary APTE'!$C76/'Table 5-A| Primary MPTE'!$E108),0),'Table 6-B| Emission Limits'!M67)</f>
        <v>0</v>
      </c>
      <c r="S76" s="642"/>
      <c r="T76" s="643"/>
      <c r="U76" s="643"/>
      <c r="V76" s="643"/>
      <c r="W76" s="643"/>
      <c r="X76" s="643"/>
      <c r="Y76" s="643"/>
      <c r="Z76" s="643"/>
      <c r="AA76" s="644"/>
      <c r="AC76" s="642"/>
      <c r="AD76" s="643"/>
      <c r="AE76" s="643"/>
      <c r="AF76" s="643"/>
      <c r="AG76" s="643"/>
      <c r="AH76" s="643"/>
      <c r="AI76" s="643"/>
      <c r="AJ76" s="643"/>
      <c r="AK76" s="644"/>
    </row>
    <row r="77" spans="1:51" ht="18" customHeight="1" x14ac:dyDescent="0.25">
      <c r="D77" s="674" t="s">
        <v>2147</v>
      </c>
      <c r="E77" s="663">
        <f ca="1">SUM(E$12:E$76)</f>
        <v>0</v>
      </c>
      <c r="F77" s="663">
        <f t="shared" ref="F77:M77" ca="1" si="116">SUM(F$12:F$76)</f>
        <v>0</v>
      </c>
      <c r="G77" s="663">
        <f t="shared" ca="1" si="116"/>
        <v>0</v>
      </c>
      <c r="H77" s="663">
        <f t="shared" ca="1" si="116"/>
        <v>0</v>
      </c>
      <c r="I77" s="663">
        <f t="shared" ca="1" si="116"/>
        <v>0</v>
      </c>
      <c r="J77" s="663">
        <f t="shared" ca="1" si="116"/>
        <v>0</v>
      </c>
      <c r="K77" s="663">
        <f t="shared" ca="1" si="116"/>
        <v>0</v>
      </c>
      <c r="L77" s="663">
        <f t="shared" ca="1" si="116"/>
        <v>0</v>
      </c>
      <c r="M77" s="663">
        <f t="shared" ca="1" si="116"/>
        <v>0</v>
      </c>
    </row>
    <row r="78" spans="1:51" ht="18" customHeight="1" x14ac:dyDescent="0.25">
      <c r="D78" s="674"/>
      <c r="E78" s="663"/>
      <c r="F78" s="663"/>
      <c r="G78" s="663"/>
      <c r="H78" s="663"/>
      <c r="I78" s="663"/>
      <c r="J78" s="663"/>
      <c r="K78" s="663"/>
      <c r="L78" s="663"/>
      <c r="M78" s="663"/>
    </row>
    <row r="79" spans="1:51" ht="18" customHeight="1" x14ac:dyDescent="0.25">
      <c r="D79" s="674"/>
      <c r="E79" s="663"/>
      <c r="F79" s="663"/>
      <c r="G79" s="663"/>
      <c r="H79" s="663"/>
      <c r="I79" s="663"/>
      <c r="J79" s="663"/>
      <c r="K79" s="663"/>
      <c r="L79" s="663"/>
      <c r="M79" s="663"/>
    </row>
    <row r="80" spans="1:51" ht="18" customHeight="1" x14ac:dyDescent="0.25">
      <c r="D80" s="674" t="s">
        <v>2146</v>
      </c>
      <c r="E80" s="663">
        <f t="shared" ref="E80:M80" ca="1" si="117">IF((E77/2000)&lt;100,ROUND(E77/2000,3),IF((E77/2000)&lt;1000,ROUND(E77/2000,2),IF((E77/2000)&lt;10000,ROUND(E77/2000,1),ROUND(E77/2000,0))))</f>
        <v>0</v>
      </c>
      <c r="F80" s="663">
        <f t="shared" ca="1" si="117"/>
        <v>0</v>
      </c>
      <c r="G80" s="663">
        <f t="shared" ca="1" si="117"/>
        <v>0</v>
      </c>
      <c r="H80" s="663">
        <f t="shared" ca="1" si="117"/>
        <v>0</v>
      </c>
      <c r="I80" s="663">
        <f t="shared" ca="1" si="117"/>
        <v>0</v>
      </c>
      <c r="J80" s="663">
        <f t="shared" ca="1" si="117"/>
        <v>0</v>
      </c>
      <c r="K80" s="663">
        <f t="shared" ca="1" si="117"/>
        <v>0</v>
      </c>
      <c r="L80" s="663">
        <f t="shared" ca="1" si="117"/>
        <v>0</v>
      </c>
      <c r="M80" s="663">
        <f t="shared" ca="1" si="117"/>
        <v>0</v>
      </c>
    </row>
    <row r="81" spans="4:5" ht="18" customHeight="1" x14ac:dyDescent="0.25"/>
    <row r="82" spans="4:5" ht="18" customHeight="1" x14ac:dyDescent="0.25">
      <c r="D82" s="547" t="s">
        <v>2140</v>
      </c>
      <c r="E82" s="663">
        <f ca="1">E80</f>
        <v>0</v>
      </c>
    </row>
    <row r="83" spans="4:5" ht="18" customHeight="1" x14ac:dyDescent="0.25">
      <c r="D83" s="547" t="s">
        <v>2141</v>
      </c>
      <c r="E83" s="663">
        <f ca="1">F80</f>
        <v>0</v>
      </c>
    </row>
    <row r="84" spans="4:5" ht="18" customHeight="1" x14ac:dyDescent="0.25">
      <c r="D84" s="547" t="s">
        <v>3</v>
      </c>
      <c r="E84" s="663">
        <f ca="1">G80</f>
        <v>0</v>
      </c>
    </row>
    <row r="85" spans="4:5" ht="18" customHeight="1" x14ac:dyDescent="0.25">
      <c r="D85" s="547" t="s">
        <v>4</v>
      </c>
      <c r="E85" s="663">
        <f ca="1">H80</f>
        <v>0</v>
      </c>
    </row>
    <row r="86" spans="4:5" ht="15" x14ac:dyDescent="0.25">
      <c r="D86" s="547" t="s">
        <v>0</v>
      </c>
      <c r="E86" s="663">
        <f ca="1">I80</f>
        <v>0</v>
      </c>
    </row>
    <row r="87" spans="4:5" ht="15" x14ac:dyDescent="0.25">
      <c r="D87" s="547" t="s">
        <v>5</v>
      </c>
      <c r="E87" s="663">
        <f ca="1">J80</f>
        <v>0</v>
      </c>
    </row>
    <row r="88" spans="4:5" ht="15" x14ac:dyDescent="0.25">
      <c r="D88" s="547" t="s">
        <v>236</v>
      </c>
      <c r="E88" s="663">
        <f ca="1">L80</f>
        <v>0</v>
      </c>
    </row>
    <row r="89" spans="4:5" ht="15" x14ac:dyDescent="0.25">
      <c r="D89" s="547" t="s">
        <v>2142</v>
      </c>
      <c r="E89" s="663">
        <f ca="1">K80</f>
        <v>0</v>
      </c>
    </row>
    <row r="90" spans="4:5" ht="15" x14ac:dyDescent="0.25">
      <c r="D90" s="547"/>
      <c r="E90" s="663"/>
    </row>
    <row r="91" spans="4:5" ht="15" x14ac:dyDescent="0.25">
      <c r="D91" s="547" t="s">
        <v>2143</v>
      </c>
      <c r="E91" s="663">
        <f>SUM('Table 7-D| APTE Thresholds'!$B$26)</f>
        <v>0</v>
      </c>
    </row>
    <row r="92" spans="4:5" ht="15" x14ac:dyDescent="0.25">
      <c r="D92" s="547" t="s">
        <v>2144</v>
      </c>
      <c r="E92" s="663">
        <f ca="1">M80</f>
        <v>0</v>
      </c>
    </row>
  </sheetData>
  <sheetProtection algorithmName="SHA-512" hashValue="F6ztAzGd9owvfnaxTRe9qs567/Y22+dR/oX1EeIsMWl7I6x2OEXpe5sA9ApOIc0iZO+N7bbK3J7ys7MHljn06w==" saltValue="fWdwOQ5YQQwpDRZetWhgaQ==" spinCount="100000" sheet="1" objects="1" scenarios="1"/>
  <mergeCells count="101">
    <mergeCell ref="J33:J34"/>
    <mergeCell ref="K33:K34"/>
    <mergeCell ref="L33:L34"/>
    <mergeCell ref="M33:M34"/>
    <mergeCell ref="E35:E36"/>
    <mergeCell ref="F35:F36"/>
    <mergeCell ref="G35:G36"/>
    <mergeCell ref="H35:H36"/>
    <mergeCell ref="I35:I36"/>
    <mergeCell ref="J35:J36"/>
    <mergeCell ref="K35:K36"/>
    <mergeCell ref="L35:L36"/>
    <mergeCell ref="M35:M36"/>
    <mergeCell ref="E33:E34"/>
    <mergeCell ref="F33:F34"/>
    <mergeCell ref="G33:G34"/>
    <mergeCell ref="H33:H34"/>
    <mergeCell ref="I33:I34"/>
    <mergeCell ref="J25:J27"/>
    <mergeCell ref="K25:K27"/>
    <mergeCell ref="L25:L27"/>
    <mergeCell ref="M25:M27"/>
    <mergeCell ref="E31:E32"/>
    <mergeCell ref="F31:F32"/>
    <mergeCell ref="G31:G32"/>
    <mergeCell ref="H31:H32"/>
    <mergeCell ref="I31:I32"/>
    <mergeCell ref="J31:J32"/>
    <mergeCell ref="K31:K32"/>
    <mergeCell ref="L31:L32"/>
    <mergeCell ref="M31:M32"/>
    <mergeCell ref="E25:E27"/>
    <mergeCell ref="F25:F27"/>
    <mergeCell ref="G25:G27"/>
    <mergeCell ref="H25:H27"/>
    <mergeCell ref="I25:I27"/>
    <mergeCell ref="L19:L21"/>
    <mergeCell ref="M19:M21"/>
    <mergeCell ref="E22:E24"/>
    <mergeCell ref="F22:F24"/>
    <mergeCell ref="G22:G24"/>
    <mergeCell ref="H22:H24"/>
    <mergeCell ref="I22:I24"/>
    <mergeCell ref="J22:J24"/>
    <mergeCell ref="K22:K24"/>
    <mergeCell ref="L22:L24"/>
    <mergeCell ref="M22:M24"/>
    <mergeCell ref="F19:F21"/>
    <mergeCell ref="G19:G21"/>
    <mergeCell ref="H19:H21"/>
    <mergeCell ref="I19:I21"/>
    <mergeCell ref="J19:J21"/>
    <mergeCell ref="E19:E21"/>
    <mergeCell ref="AC43:AK43"/>
    <mergeCell ref="E13:E15"/>
    <mergeCell ref="F13:F15"/>
    <mergeCell ref="G13:G15"/>
    <mergeCell ref="H13:H15"/>
    <mergeCell ref="I13:I15"/>
    <mergeCell ref="J13:J15"/>
    <mergeCell ref="K13:K15"/>
    <mergeCell ref="L13:L15"/>
    <mergeCell ref="M13:M15"/>
    <mergeCell ref="E16:E18"/>
    <mergeCell ref="F16:F18"/>
    <mergeCell ref="G16:G18"/>
    <mergeCell ref="H16:H18"/>
    <mergeCell ref="I16:I18"/>
    <mergeCell ref="A28:M28"/>
    <mergeCell ref="A30:M30"/>
    <mergeCell ref="A37:M37"/>
    <mergeCell ref="A43:M43"/>
    <mergeCell ref="J16:J18"/>
    <mergeCell ref="K16:K18"/>
    <mergeCell ref="L16:L18"/>
    <mergeCell ref="M16:M18"/>
    <mergeCell ref="K19:K21"/>
    <mergeCell ref="AZ12:BF12"/>
    <mergeCell ref="AZ13:BF13"/>
    <mergeCell ref="AM10:AY10"/>
    <mergeCell ref="S37:AA37"/>
    <mergeCell ref="S28:AA28"/>
    <mergeCell ref="AC28:AK28"/>
    <mergeCell ref="S30:AA30"/>
    <mergeCell ref="AC30:AK30"/>
    <mergeCell ref="AC37:AK37"/>
    <mergeCell ref="A7:M7"/>
    <mergeCell ref="A12:M12"/>
    <mergeCell ref="S10:AA10"/>
    <mergeCell ref="AC10:AK10"/>
    <mergeCell ref="A5:M5"/>
    <mergeCell ref="A6:M6"/>
    <mergeCell ref="A1:M1"/>
    <mergeCell ref="A2:M2"/>
    <mergeCell ref="A3:M3"/>
    <mergeCell ref="A4:M4"/>
    <mergeCell ref="A8:M8"/>
    <mergeCell ref="A9:M9"/>
    <mergeCell ref="S12:AA12"/>
    <mergeCell ref="AC12:AK12"/>
    <mergeCell ref="A10:L10"/>
  </mergeCells>
  <conditionalFormatting sqref="A12 A13:D27 A29:D29 A31:D36 A38:M76">
    <cfRule type="expression" dxfId="61" priority="3">
      <formula>OR($A12=0,$B12=0)</formula>
    </cfRule>
  </conditionalFormatting>
  <conditionalFormatting sqref="B44:B76">
    <cfRule type="cellIs" dxfId="60" priority="151" operator="greaterThan">
      <formula>99999999</formula>
    </cfRule>
  </conditionalFormatting>
  <conditionalFormatting sqref="C13:M27 C29:M29 C31:M36 C38:M42 C44:M76">
    <cfRule type="cellIs" dxfId="59" priority="147" operator="greaterThanOrEqual">
      <formula>1000000</formula>
    </cfRule>
    <cfRule type="cellIs" dxfId="58" priority="148" stopIfTrue="1" operator="greaterThanOrEqual">
      <formula>1000</formula>
    </cfRule>
    <cfRule type="cellIs" dxfId="57" priority="149" stopIfTrue="1" operator="equal">
      <formula>0</formula>
    </cfRule>
  </conditionalFormatting>
  <conditionalFormatting sqref="E13:M27">
    <cfRule type="expression" dxfId="56" priority="2">
      <formula>AND($B13=0,$B14=0,$B15=0)</formula>
    </cfRule>
  </conditionalFormatting>
  <conditionalFormatting sqref="E31:M36">
    <cfRule type="expression" dxfId="55" priority="1">
      <formula>AND($B31=0,$B32=0)</formula>
    </cfRule>
  </conditionalFormatting>
  <conditionalFormatting sqref="E77:M80">
    <cfRule type="cellIs" dxfId="54" priority="133" operator="lessThan">
      <formula>100</formula>
    </cfRule>
    <cfRule type="cellIs" dxfId="53" priority="134" operator="lessThan">
      <formula>1000</formula>
    </cfRule>
    <cfRule type="cellIs" dxfId="52" priority="135" operator="lessThan">
      <formula>10000</formula>
    </cfRule>
    <cfRule type="cellIs" dxfId="51" priority="136" operator="greaterThanOrEqual">
      <formula>10000</formula>
    </cfRule>
  </conditionalFormatting>
  <conditionalFormatting sqref="AU12:AU75">
    <cfRule type="cellIs" dxfId="50" priority="23" operator="greaterThan">
      <formula>1000</formula>
    </cfRule>
  </conditionalFormatting>
  <hyperlinks>
    <hyperlink ref="AU11" location="'Table 5-A| Criteria MPTE'!B10" display="'Table 5-A| Criteria MPTE'!B10" xr:uid="{00000000-0004-0000-1000-000000000000}"/>
    <hyperlink ref="Y43" location="'Table 5-A| Criteria MPTE'!B10" display="'Table 5-A| Criteria MPTE'!B10" xr:uid="{00000000-0004-0000-1000-000001000000}"/>
  </hyperlinks>
  <printOptions horizontalCentered="1"/>
  <pageMargins left="0.5" right="0.5" top="0.5" bottom="0.5" header="0.3" footer="0.3"/>
  <pageSetup scale="69" fitToHeight="4" orientation="landscape" r:id="rId1"/>
  <headerFooter>
    <oddFooter>&amp;L&amp;A&amp;RPage &amp;P</oddFooter>
  </headerFooter>
  <rowBreaks count="1" manualBreakCount="1">
    <brk id="39"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002060"/>
    <pageSetUpPr fitToPage="1"/>
  </sheetPr>
  <dimension ref="A1:Z56"/>
  <sheetViews>
    <sheetView showGridLines="0" zoomScaleNormal="100" workbookViewId="0">
      <selection sqref="A1:L1"/>
    </sheetView>
  </sheetViews>
  <sheetFormatPr defaultRowHeight="14.25" x14ac:dyDescent="0.2"/>
  <cols>
    <col min="1" max="3" width="16.7109375" style="100" customWidth="1"/>
    <col min="4" max="4" width="12.7109375" style="100" customWidth="1"/>
    <col min="5" max="7" width="13.28515625" style="100" customWidth="1"/>
    <col min="8" max="8" width="12.7109375" style="100" customWidth="1"/>
    <col min="9" max="9" width="12.7109375" style="114" customWidth="1"/>
    <col min="10" max="10" width="12.7109375" style="100" customWidth="1"/>
    <col min="11" max="11" width="21.7109375" style="114" customWidth="1"/>
    <col min="12" max="12" width="12.7109375" style="100" customWidth="1"/>
    <col min="13" max="15" width="9.140625" style="100" customWidth="1"/>
    <col min="16" max="25" width="9.140625" style="100"/>
    <col min="26" max="26" width="23.42578125" style="100" bestFit="1" customWidth="1"/>
    <col min="27" max="16384" width="9.140625" style="100"/>
  </cols>
  <sheetData>
    <row r="1" spans="1:26" s="69" customFormat="1" ht="26.25" customHeight="1" thickBot="1" x14ac:dyDescent="0.3">
      <c r="A1" s="1255" t="s">
        <v>2340</v>
      </c>
      <c r="B1" s="1255"/>
      <c r="C1" s="1255"/>
      <c r="D1" s="1255"/>
      <c r="E1" s="1255"/>
      <c r="F1" s="1255"/>
      <c r="G1" s="1255"/>
      <c r="H1" s="1255"/>
      <c r="I1" s="1255"/>
      <c r="J1" s="1255"/>
      <c r="K1" s="1255"/>
      <c r="L1" s="1255"/>
      <c r="M1" s="79"/>
      <c r="N1" s="79"/>
      <c r="O1" s="79"/>
    </row>
    <row r="2" spans="1:26" s="160" customFormat="1" ht="35.1" customHeight="1" x14ac:dyDescent="0.25">
      <c r="A2" s="1310" t="s">
        <v>2341</v>
      </c>
      <c r="B2" s="1310"/>
      <c r="C2" s="1310"/>
      <c r="D2" s="1310"/>
      <c r="E2" s="1310"/>
      <c r="F2" s="1310"/>
      <c r="G2" s="1310"/>
      <c r="H2" s="1310"/>
      <c r="I2" s="1310"/>
      <c r="J2" s="1310"/>
      <c r="K2" s="1310"/>
      <c r="L2" s="1310"/>
      <c r="M2" s="163"/>
      <c r="N2" s="163"/>
      <c r="O2" s="163"/>
    </row>
    <row r="3" spans="1:26" s="160" customFormat="1" ht="35.1" customHeight="1" x14ac:dyDescent="0.25">
      <c r="A3" s="161">
        <v>1</v>
      </c>
      <c r="B3" s="1392" t="s">
        <v>1597</v>
      </c>
      <c r="C3" s="1392"/>
      <c r="D3" s="1392"/>
      <c r="E3" s="1392"/>
      <c r="F3" s="1392"/>
      <c r="G3" s="1392"/>
      <c r="H3" s="1392"/>
      <c r="I3" s="1392"/>
      <c r="J3" s="1392"/>
      <c r="K3" s="1392"/>
      <c r="L3" s="1392"/>
      <c r="M3" s="164"/>
      <c r="N3" s="164"/>
      <c r="O3" s="164"/>
    </row>
    <row r="4" spans="1:26" s="160" customFormat="1" ht="35.1" customHeight="1" x14ac:dyDescent="0.25">
      <c r="A4" s="161">
        <v>2</v>
      </c>
      <c r="B4" s="1392" t="s">
        <v>1598</v>
      </c>
      <c r="C4" s="1392"/>
      <c r="D4" s="1392"/>
      <c r="E4" s="1392"/>
      <c r="F4" s="1392"/>
      <c r="G4" s="1392"/>
      <c r="H4" s="1392"/>
      <c r="I4" s="1392"/>
      <c r="J4" s="1392"/>
      <c r="K4" s="1392"/>
      <c r="L4" s="1392"/>
    </row>
    <row r="5" spans="1:26" s="160" customFormat="1" ht="35.1" customHeight="1" x14ac:dyDescent="0.25">
      <c r="A5" s="161">
        <v>3</v>
      </c>
      <c r="B5" s="1392" t="s">
        <v>1599</v>
      </c>
      <c r="C5" s="1392"/>
      <c r="D5" s="1392"/>
      <c r="E5" s="1392"/>
      <c r="F5" s="1392"/>
      <c r="G5" s="1392"/>
      <c r="H5" s="1392"/>
      <c r="I5" s="1392"/>
      <c r="J5" s="1392"/>
      <c r="K5" s="1392"/>
      <c r="L5" s="1392"/>
      <c r="M5" s="164"/>
      <c r="N5" s="164"/>
      <c r="O5" s="164"/>
    </row>
    <row r="6" spans="1:26" s="160" customFormat="1" ht="35.1" customHeight="1" x14ac:dyDescent="0.25">
      <c r="A6" s="161">
        <v>4</v>
      </c>
      <c r="B6" s="1392" t="s">
        <v>1600</v>
      </c>
      <c r="C6" s="1392"/>
      <c r="D6" s="1392"/>
      <c r="E6" s="1392"/>
      <c r="F6" s="1392"/>
      <c r="G6" s="1392"/>
      <c r="H6" s="1392"/>
      <c r="I6" s="1392"/>
      <c r="J6" s="1392"/>
      <c r="K6" s="1392"/>
      <c r="L6" s="1392"/>
      <c r="M6" s="164"/>
      <c r="N6" s="164"/>
      <c r="O6" s="164"/>
    </row>
    <row r="7" spans="1:26" s="160" customFormat="1" ht="35.1" customHeight="1" x14ac:dyDescent="0.25">
      <c r="A7" s="161">
        <v>5</v>
      </c>
      <c r="B7" s="1392" t="s">
        <v>1601</v>
      </c>
      <c r="C7" s="1392"/>
      <c r="D7" s="1392"/>
      <c r="E7" s="1392"/>
      <c r="F7" s="1392"/>
      <c r="G7" s="1392"/>
      <c r="H7" s="1392"/>
      <c r="I7" s="1392"/>
      <c r="J7" s="1392"/>
      <c r="K7" s="1392"/>
      <c r="L7" s="1392"/>
      <c r="M7" s="164"/>
      <c r="N7" s="164"/>
      <c r="O7" s="164"/>
    </row>
    <row r="8" spans="1:26" s="160" customFormat="1" ht="20.100000000000001" customHeight="1" x14ac:dyDescent="0.25">
      <c r="A8" s="161">
        <v>6</v>
      </c>
      <c r="B8" s="1392" t="s">
        <v>2342</v>
      </c>
      <c r="C8" s="1392"/>
      <c r="D8" s="1392"/>
      <c r="E8" s="1392"/>
      <c r="F8" s="1392"/>
      <c r="G8" s="1392"/>
      <c r="H8" s="1392"/>
      <c r="I8" s="1392"/>
      <c r="J8" s="1392"/>
      <c r="K8" s="1392"/>
      <c r="L8" s="1392"/>
      <c r="M8" s="164"/>
      <c r="N8" s="164"/>
      <c r="O8" s="164"/>
    </row>
    <row r="9" spans="1:26" s="68" customFormat="1" ht="9" customHeight="1" thickBot="1" x14ac:dyDescent="0.3">
      <c r="A9" s="121"/>
      <c r="B9" s="129"/>
      <c r="C9" s="129"/>
      <c r="D9" s="129"/>
      <c r="E9" s="129"/>
      <c r="F9" s="129"/>
      <c r="G9" s="129"/>
      <c r="H9" s="129"/>
      <c r="I9" s="129"/>
      <c r="J9" s="129"/>
      <c r="K9" s="129"/>
      <c r="L9" s="129"/>
      <c r="M9" s="129"/>
      <c r="N9" s="129"/>
      <c r="O9" s="129"/>
    </row>
    <row r="10" spans="1:26" ht="45" customHeight="1" x14ac:dyDescent="0.2">
      <c r="A10" s="1490" t="s">
        <v>1592</v>
      </c>
      <c r="B10" s="1491"/>
      <c r="C10" s="1492"/>
      <c r="D10" s="1386" t="s">
        <v>1850</v>
      </c>
      <c r="E10" s="494" t="s">
        <v>1553</v>
      </c>
      <c r="F10" s="494" t="s">
        <v>1551</v>
      </c>
      <c r="G10" s="494" t="s">
        <v>1552</v>
      </c>
      <c r="H10" s="492" t="s">
        <v>11</v>
      </c>
      <c r="I10" s="497" t="s">
        <v>12</v>
      </c>
      <c r="J10" s="494" t="s">
        <v>1594</v>
      </c>
      <c r="K10" s="1496" t="s">
        <v>1593</v>
      </c>
      <c r="L10" s="99" t="s">
        <v>13</v>
      </c>
    </row>
    <row r="11" spans="1:26" ht="15.75" customHeight="1" thickBot="1" x14ac:dyDescent="0.25">
      <c r="A11" s="1493"/>
      <c r="B11" s="1494"/>
      <c r="C11" s="1495"/>
      <c r="D11" s="1387"/>
      <c r="E11" s="101" t="s">
        <v>14</v>
      </c>
      <c r="F11" s="101" t="s">
        <v>1590</v>
      </c>
      <c r="G11" s="101" t="s">
        <v>14</v>
      </c>
      <c r="H11" s="102" t="s">
        <v>15</v>
      </c>
      <c r="I11" s="104" t="s">
        <v>17</v>
      </c>
      <c r="J11" s="101" t="s">
        <v>1590</v>
      </c>
      <c r="K11" s="1497"/>
      <c r="L11" s="105" t="s">
        <v>15</v>
      </c>
      <c r="W11" s="100" t="s">
        <v>1591</v>
      </c>
      <c r="Z11" s="138" t="s">
        <v>1595</v>
      </c>
    </row>
    <row r="12" spans="1:26" s="106" customFormat="1" ht="18" customHeight="1" x14ac:dyDescent="0.2">
      <c r="A12" s="1487" t="s">
        <v>1596</v>
      </c>
      <c r="B12" s="1488"/>
      <c r="C12" s="1489"/>
      <c r="D12" s="501" t="s">
        <v>2083</v>
      </c>
      <c r="E12" s="326">
        <v>1000</v>
      </c>
      <c r="F12" s="326" t="s">
        <v>73</v>
      </c>
      <c r="G12" s="399"/>
      <c r="H12" s="329">
        <v>1625</v>
      </c>
      <c r="I12" s="330">
        <v>1</v>
      </c>
      <c r="J12" s="326" t="s">
        <v>73</v>
      </c>
      <c r="K12" s="400"/>
      <c r="L12" s="331">
        <v>1625</v>
      </c>
      <c r="M12" s="136"/>
      <c r="N12" s="100"/>
      <c r="O12" s="100"/>
      <c r="W12" s="106" t="s">
        <v>75</v>
      </c>
      <c r="Z12" s="132" t="s">
        <v>1565</v>
      </c>
    </row>
    <row r="13" spans="1:26" s="106" customFormat="1" ht="18" customHeight="1" x14ac:dyDescent="0.2">
      <c r="A13" s="1485" t="s">
        <v>1604</v>
      </c>
      <c r="B13" s="1290"/>
      <c r="C13" s="1486"/>
      <c r="D13" s="502" t="s">
        <v>2084</v>
      </c>
      <c r="E13" s="334">
        <v>5000</v>
      </c>
      <c r="F13" s="334" t="s">
        <v>75</v>
      </c>
      <c r="G13" s="334">
        <v>200</v>
      </c>
      <c r="H13" s="337">
        <v>600</v>
      </c>
      <c r="I13" s="338">
        <v>1</v>
      </c>
      <c r="J13" s="334" t="s">
        <v>75</v>
      </c>
      <c r="K13" s="338" t="s">
        <v>1565</v>
      </c>
      <c r="L13" s="339">
        <f>H13*I13*(1-0.95)</f>
        <v>30.000000000000028</v>
      </c>
      <c r="M13" s="136"/>
      <c r="N13" s="100"/>
      <c r="O13" s="100"/>
      <c r="W13" s="106" t="s">
        <v>73</v>
      </c>
      <c r="Z13" s="132" t="s">
        <v>1573</v>
      </c>
    </row>
    <row r="14" spans="1:26" s="68" customFormat="1" ht="9" customHeight="1" x14ac:dyDescent="0.25">
      <c r="A14" s="121"/>
      <c r="B14" s="129"/>
      <c r="C14" s="129"/>
      <c r="D14" s="129"/>
      <c r="E14" s="129"/>
      <c r="F14" s="129"/>
      <c r="G14" s="129"/>
      <c r="H14" s="129"/>
      <c r="I14" s="129"/>
      <c r="J14" s="129"/>
      <c r="K14" s="129"/>
      <c r="L14" s="129"/>
      <c r="M14" s="129"/>
      <c r="N14" s="129"/>
      <c r="O14" s="129"/>
    </row>
    <row r="15" spans="1:26" s="68" customFormat="1" ht="15.75" customHeight="1" thickBot="1" x14ac:dyDescent="0.3">
      <c r="A15" s="1277"/>
      <c r="B15" s="1277"/>
      <c r="C15" s="1277"/>
      <c r="D15" s="1277"/>
      <c r="E15" s="1277"/>
      <c r="F15" s="1277"/>
      <c r="G15" s="1277"/>
      <c r="H15" s="1277"/>
      <c r="I15" s="1277"/>
      <c r="J15" s="1277"/>
      <c r="K15" s="1277"/>
      <c r="L15" s="1277"/>
      <c r="M15" s="85"/>
      <c r="N15" s="85"/>
      <c r="O15" s="85"/>
    </row>
    <row r="16" spans="1:26" s="77" customFormat="1" ht="19.5" thickBot="1" x14ac:dyDescent="0.3">
      <c r="A16" s="1211" t="s">
        <v>1422</v>
      </c>
      <c r="B16" s="1211"/>
      <c r="C16" s="1211"/>
      <c r="D16" s="1211"/>
      <c r="E16" s="1211"/>
      <c r="F16" s="1211"/>
      <c r="G16" s="1211"/>
      <c r="H16" s="1211"/>
      <c r="I16" s="1211"/>
      <c r="J16" s="1211"/>
      <c r="K16" s="1211"/>
      <c r="L16" s="1211"/>
      <c r="M16" s="90"/>
      <c r="N16" s="90"/>
      <c r="O16" s="90"/>
    </row>
    <row r="17" spans="1:26" ht="60" customHeight="1" x14ac:dyDescent="0.2">
      <c r="A17" s="1374"/>
      <c r="B17" s="1374"/>
      <c r="C17" s="1374"/>
      <c r="D17" s="1374"/>
      <c r="E17" s="1374"/>
      <c r="F17" s="1374"/>
      <c r="G17" s="1374"/>
      <c r="H17" s="1374"/>
      <c r="I17" s="1374"/>
      <c r="J17" s="1374"/>
      <c r="K17" s="1374"/>
      <c r="L17" s="1374"/>
    </row>
    <row r="18" spans="1:26" ht="24.95" customHeight="1" x14ac:dyDescent="0.2">
      <c r="A18" s="1347" t="s">
        <v>1408</v>
      </c>
      <c r="B18" s="1347"/>
      <c r="C18" s="1347"/>
      <c r="D18" s="1347"/>
      <c r="E18" s="1347"/>
      <c r="F18" s="1347"/>
      <c r="G18" s="1347"/>
      <c r="H18" s="1347"/>
      <c r="I18" s="1347"/>
      <c r="J18" s="1347"/>
      <c r="K18" s="1347"/>
      <c r="L18" s="1347"/>
      <c r="M18" s="112"/>
      <c r="N18" s="112"/>
      <c r="O18" s="112"/>
    </row>
    <row r="19" spans="1:26" ht="24.95" customHeight="1" x14ac:dyDescent="0.2">
      <c r="A19" s="1002" t="s">
        <v>2343</v>
      </c>
      <c r="B19" s="1002"/>
      <c r="C19" s="1002"/>
      <c r="D19" s="1002"/>
      <c r="E19" s="1002"/>
      <c r="F19" s="1002"/>
      <c r="G19" s="1002"/>
      <c r="H19" s="1002"/>
      <c r="I19" s="1002"/>
      <c r="J19" s="1002"/>
      <c r="K19" s="1002"/>
      <c r="L19" s="1002"/>
    </row>
    <row r="20" spans="1:26" ht="20.100000000000001" customHeight="1" thickBot="1" x14ac:dyDescent="0.3">
      <c r="A20" s="1383" t="s">
        <v>1672</v>
      </c>
      <c r="B20" s="1383"/>
      <c r="C20" s="1383"/>
      <c r="D20" s="1383"/>
      <c r="E20" s="1383"/>
      <c r="F20" s="1383"/>
      <c r="G20" s="1383"/>
      <c r="H20" s="1383"/>
      <c r="I20" s="1383"/>
      <c r="J20" s="1383"/>
      <c r="K20" s="1383"/>
      <c r="L20" s="843" t="str">
        <f>"Ver."&amp;" "&amp;TEXT(Introduction!$M$3,"MM/YYYY")</f>
        <v>Ver. 01/2025</v>
      </c>
    </row>
    <row r="21" spans="1:26" ht="45" customHeight="1" x14ac:dyDescent="0.2">
      <c r="A21" s="1471" t="s">
        <v>1592</v>
      </c>
      <c r="B21" s="1472"/>
      <c r="C21" s="1473"/>
      <c r="D21" s="1379" t="s">
        <v>1850</v>
      </c>
      <c r="E21" s="805" t="s">
        <v>1553</v>
      </c>
      <c r="F21" s="805" t="s">
        <v>1551</v>
      </c>
      <c r="G21" s="805" t="s">
        <v>1552</v>
      </c>
      <c r="H21" s="807" t="s">
        <v>11</v>
      </c>
      <c r="I21" s="808" t="s">
        <v>12</v>
      </c>
      <c r="J21" s="805" t="s">
        <v>1594</v>
      </c>
      <c r="K21" s="1477" t="s">
        <v>1593</v>
      </c>
      <c r="L21" s="788" t="s">
        <v>13</v>
      </c>
    </row>
    <row r="22" spans="1:26" ht="15.75" customHeight="1" thickBot="1" x14ac:dyDescent="0.25">
      <c r="A22" s="1474"/>
      <c r="B22" s="1475"/>
      <c r="C22" s="1476"/>
      <c r="D22" s="1380"/>
      <c r="E22" s="809" t="s">
        <v>14</v>
      </c>
      <c r="F22" s="809" t="s">
        <v>1590</v>
      </c>
      <c r="G22" s="809" t="s">
        <v>14</v>
      </c>
      <c r="H22" s="810" t="s">
        <v>15</v>
      </c>
      <c r="I22" s="812" t="s">
        <v>17</v>
      </c>
      <c r="J22" s="809" t="s">
        <v>1590</v>
      </c>
      <c r="K22" s="1478"/>
      <c r="L22" s="813" t="s">
        <v>15</v>
      </c>
      <c r="W22" s="100" t="s">
        <v>1591</v>
      </c>
      <c r="Z22" s="138" t="s">
        <v>1595</v>
      </c>
    </row>
    <row r="23" spans="1:26" s="106" customFormat="1" ht="18" customHeight="1" x14ac:dyDescent="0.2">
      <c r="A23" s="1479" t="str">
        <f>IF(ISBLANK('Table 5-B| MPTE VOC'!A30),"",'Table 5-B| MPTE VOC'!A30&amp;" -- "&amp;'Table 5-B| MPTE VOC'!B30&amp;": "&amp;'Table 5-B| MPTE VOC'!D30)</f>
        <v/>
      </c>
      <c r="B23" s="1480"/>
      <c r="C23" s="1481"/>
      <c r="D23" s="538" t="str">
        <f>IF(ISBLANK('Table 5-B| MPTE VOC'!C30),"",'Table 5-B| MPTE VOC'!C30)</f>
        <v/>
      </c>
      <c r="E23" s="401" t="str">
        <f>IF(ISBLANK('Table 5-B| MPTE VOC'!E30),"",'Table 5-B| MPTE VOC'!E30)</f>
        <v/>
      </c>
      <c r="F23" s="342"/>
      <c r="G23" s="342"/>
      <c r="H23" s="346" t="str">
        <f>IF(F23="No",'Table 5-B| MPTE VOC'!I30,IF(AND(F23="Yes",NOT(ISBLANK(G23))),('Table 5-B| MPTE VOC'!I30*(G23/E23)),""))</f>
        <v/>
      </c>
      <c r="I23" s="402" t="str">
        <f>IF(ISBLANK('Table 5-B| MPTE VOC'!J30),"",'Table 5-B| MPTE VOC'!J30)</f>
        <v/>
      </c>
      <c r="J23" s="342"/>
      <c r="K23" s="403"/>
      <c r="L23" s="348" t="str">
        <f>IFERROR(IF('Table 5-B| MPTE VOC'!K30="","",IF(J23="Yes",(H23*I23*(1-VLOOKUP(K23,'Emission Controls'!$A$3:$L$16,7,))),IF(J23="No",H23*I23,""))),"")</f>
        <v/>
      </c>
      <c r="M23" s="136">
        <f>IFERROR(VLOOKUP(K23,'Emission Controls'!$A$3:$B$16,2,),0)</f>
        <v>0</v>
      </c>
      <c r="N23" s="100"/>
      <c r="O23" s="100"/>
      <c r="W23" s="106" t="s">
        <v>75</v>
      </c>
      <c r="Z23" s="132" t="s">
        <v>1565</v>
      </c>
    </row>
    <row r="24" spans="1:26" s="106" customFormat="1" ht="18" customHeight="1" x14ac:dyDescent="0.2">
      <c r="A24" s="1482" t="str">
        <f>IF(ISBLANK('Table 5-B| MPTE VOC'!A31),"",'Table 5-B| MPTE VOC'!A31&amp;" -- "&amp;'Table 5-B| MPTE VOC'!B31&amp;": "&amp;'Table 5-B| MPTE VOC'!D31)</f>
        <v/>
      </c>
      <c r="B24" s="1483"/>
      <c r="C24" s="1484"/>
      <c r="D24" s="539" t="str">
        <f>IF(ISBLANK('Table 5-B| MPTE VOC'!C31),"",'Table 5-B| MPTE VOC'!C31)</f>
        <v/>
      </c>
      <c r="E24" s="404" t="str">
        <f>IF(ISBLANK('Table 5-B| MPTE VOC'!E31),"",'Table 5-B| MPTE VOC'!E31)</f>
        <v/>
      </c>
      <c r="F24" s="351"/>
      <c r="G24" s="351"/>
      <c r="H24" s="355" t="str">
        <f>IF(F24="No",'Table 5-B| MPTE VOC'!I31,IF(AND(F24="Yes",NOT(ISBLANK(G24))),('Table 5-B| MPTE VOC'!I31*(G24/E24)),""))</f>
        <v/>
      </c>
      <c r="I24" s="405" t="str">
        <f>IF(ISBLANK('Table 5-B| MPTE VOC'!J31),"",'Table 5-B| MPTE VOC'!J31)</f>
        <v/>
      </c>
      <c r="J24" s="351"/>
      <c r="K24" s="356"/>
      <c r="L24" s="357" t="str">
        <f>IFERROR(IF('Table 5-B| MPTE VOC'!K31="","",IF(J24="Yes",(H24*I24*(1-VLOOKUP(K24,'Emission Controls'!$A$3:$L$16,7,))),IF(J24="No",H24*I24,""))),"")</f>
        <v/>
      </c>
      <c r="M24" s="136">
        <f>IFERROR(VLOOKUP(K24,'Emission Controls'!$A$3:$B$16,2,),0)</f>
        <v>0</v>
      </c>
      <c r="N24" s="100"/>
      <c r="O24" s="100"/>
      <c r="W24" s="106" t="s">
        <v>73</v>
      </c>
      <c r="Z24" s="132" t="s">
        <v>1573</v>
      </c>
    </row>
    <row r="25" spans="1:26" s="106" customFormat="1" ht="18" customHeight="1" thickBot="1" x14ac:dyDescent="0.25">
      <c r="A25" s="1482" t="str">
        <f>IF(ISBLANK('Table 5-B| MPTE VOC'!A32),"",'Table 5-B| MPTE VOC'!A32&amp;" -- "&amp;'Table 5-B| MPTE VOC'!B32&amp;": "&amp;'Table 5-B| MPTE VOC'!D32)</f>
        <v/>
      </c>
      <c r="B25" s="1483"/>
      <c r="C25" s="1484"/>
      <c r="D25" s="539" t="str">
        <f>IF(ISBLANK('Table 5-B| MPTE VOC'!C32),"",'Table 5-B| MPTE VOC'!C32)</f>
        <v/>
      </c>
      <c r="E25" s="404" t="str">
        <f>IF(ISBLANK('Table 5-B| MPTE VOC'!E32),"",'Table 5-B| MPTE VOC'!E32)</f>
        <v/>
      </c>
      <c r="F25" s="351"/>
      <c r="G25" s="351"/>
      <c r="H25" s="355" t="str">
        <f>IF(F25="No",'Table 5-B| MPTE VOC'!I32,IF(AND(F25="Yes",NOT(ISBLANK(G25))),('Table 5-B| MPTE VOC'!I32*(G25/E25)),""))</f>
        <v/>
      </c>
      <c r="I25" s="405" t="str">
        <f>IF(ISBLANK('Table 5-B| MPTE VOC'!J32),"",'Table 5-B| MPTE VOC'!J32)</f>
        <v/>
      </c>
      <c r="J25" s="351"/>
      <c r="K25" s="356"/>
      <c r="L25" s="357" t="str">
        <f>IFERROR(IF('Table 5-B| MPTE VOC'!K32="","",IF(J25="Yes",(H25*I25*(1-VLOOKUP(K25,'Emission Controls'!$A$3:$L$16,7,))),IF(J25="No",H25*I25,""))),"")</f>
        <v/>
      </c>
      <c r="M25" s="136">
        <f>IFERROR(VLOOKUP(K25,'Emission Controls'!$A$3:$B$16,2,),0)</f>
        <v>0</v>
      </c>
      <c r="N25" s="100"/>
      <c r="O25" s="100"/>
      <c r="Z25" s="133" t="s">
        <v>1568</v>
      </c>
    </row>
    <row r="26" spans="1:26" s="106" customFormat="1" ht="18" customHeight="1" x14ac:dyDescent="0.2">
      <c r="A26" s="1482" t="str">
        <f>IF(ISBLANK('Table 5-B| MPTE VOC'!A33),"",'Table 5-B| MPTE VOC'!A33&amp;" -- "&amp;'Table 5-B| MPTE VOC'!B33&amp;": "&amp;'Table 5-B| MPTE VOC'!D33)</f>
        <v/>
      </c>
      <c r="B26" s="1483"/>
      <c r="C26" s="1484"/>
      <c r="D26" s="539" t="str">
        <f>IF(ISBLANK('Table 5-B| MPTE VOC'!C33),"",'Table 5-B| MPTE VOC'!C33)</f>
        <v/>
      </c>
      <c r="E26" s="404" t="str">
        <f>IF(ISBLANK('Table 5-B| MPTE VOC'!E33),"",'Table 5-B| MPTE VOC'!E33)</f>
        <v/>
      </c>
      <c r="F26" s="351"/>
      <c r="G26" s="351"/>
      <c r="H26" s="355" t="str">
        <f>IF(F26="No",'Table 5-B| MPTE VOC'!I33,IF(AND(F26="Yes",NOT(ISBLANK(G26))),('Table 5-B| MPTE VOC'!I33*(G26/E26)),""))</f>
        <v/>
      </c>
      <c r="I26" s="405" t="str">
        <f>IF(ISBLANK('Table 5-B| MPTE VOC'!J33),"",'Table 5-B| MPTE VOC'!J33)</f>
        <v/>
      </c>
      <c r="J26" s="351"/>
      <c r="K26" s="356"/>
      <c r="L26" s="357" t="str">
        <f>IFERROR(IF('Table 5-B| MPTE VOC'!K33="","",IF(J26="Yes",(H26*I26*(1-VLOOKUP(K26,'Emission Controls'!$A$3:$L$16,7,))),IF(J26="No",H26*I26,""))),"")</f>
        <v/>
      </c>
      <c r="M26" s="136">
        <f>IFERROR(VLOOKUP(K26,'Emission Controls'!$A$3:$B$16,2,),0)</f>
        <v>0</v>
      </c>
      <c r="N26" s="100"/>
      <c r="O26" s="100"/>
    </row>
    <row r="27" spans="1:26" s="106" customFormat="1" ht="18" customHeight="1" x14ac:dyDescent="0.2">
      <c r="A27" s="1482" t="str">
        <f>IF(ISBLANK('Table 5-B| MPTE VOC'!A34),"",'Table 5-B| MPTE VOC'!A34&amp;" -- "&amp;'Table 5-B| MPTE VOC'!B34&amp;": "&amp;'Table 5-B| MPTE VOC'!D34)</f>
        <v/>
      </c>
      <c r="B27" s="1483"/>
      <c r="C27" s="1484"/>
      <c r="D27" s="539" t="str">
        <f>IF(ISBLANK('Table 5-B| MPTE VOC'!C34),"",'Table 5-B| MPTE VOC'!C34)</f>
        <v/>
      </c>
      <c r="E27" s="404" t="str">
        <f>IF(ISBLANK('Table 5-B| MPTE VOC'!E34),"",'Table 5-B| MPTE VOC'!E34)</f>
        <v/>
      </c>
      <c r="F27" s="351"/>
      <c r="G27" s="351"/>
      <c r="H27" s="355" t="str">
        <f>IF(F27="No",'Table 5-B| MPTE VOC'!I34,IF(AND(F27="Yes",NOT(ISBLANK(G27))),('Table 5-B| MPTE VOC'!I34*(G27/E27)),""))</f>
        <v/>
      </c>
      <c r="I27" s="405" t="str">
        <f>IF(ISBLANK('Table 5-B| MPTE VOC'!J34),"",'Table 5-B| MPTE VOC'!J34)</f>
        <v/>
      </c>
      <c r="J27" s="351"/>
      <c r="K27" s="356"/>
      <c r="L27" s="357" t="str">
        <f>IFERROR(IF('Table 5-B| MPTE VOC'!K34="","",IF(J27="Yes",(H27*I27*(1-VLOOKUP(K27,'Emission Controls'!$A$3:$L$16,7,))),IF(J27="No",H27*I27,""))),"")</f>
        <v/>
      </c>
      <c r="M27" s="136">
        <f>IFERROR(VLOOKUP(K27,'Emission Controls'!$A$3:$B$16,2,),0)</f>
        <v>0</v>
      </c>
    </row>
    <row r="28" spans="1:26" s="106" customFormat="1" ht="18" customHeight="1" x14ac:dyDescent="0.2">
      <c r="A28" s="1482" t="str">
        <f>IF(ISBLANK('Table 5-B| MPTE VOC'!A35),"",'Table 5-B| MPTE VOC'!A35&amp;" -- "&amp;'Table 5-B| MPTE VOC'!B35&amp;": "&amp;'Table 5-B| MPTE VOC'!D35)</f>
        <v/>
      </c>
      <c r="B28" s="1483"/>
      <c r="C28" s="1484"/>
      <c r="D28" s="539" t="str">
        <f>IF(ISBLANK('Table 5-B| MPTE VOC'!C35),"",'Table 5-B| MPTE VOC'!C35)</f>
        <v/>
      </c>
      <c r="E28" s="404" t="str">
        <f>IF(ISBLANK('Table 5-B| MPTE VOC'!E35),"",'Table 5-B| MPTE VOC'!E35)</f>
        <v/>
      </c>
      <c r="F28" s="351"/>
      <c r="G28" s="351"/>
      <c r="H28" s="355" t="str">
        <f>IF(F28="No",'Table 5-B| MPTE VOC'!I35,IF(AND(F28="Yes",NOT(ISBLANK(G28))),('Table 5-B| MPTE VOC'!I35*(G28/E28)),""))</f>
        <v/>
      </c>
      <c r="I28" s="405" t="str">
        <f>IF(ISBLANK('Table 5-B| MPTE VOC'!J35),"",'Table 5-B| MPTE VOC'!J35)</f>
        <v/>
      </c>
      <c r="J28" s="351"/>
      <c r="K28" s="356"/>
      <c r="L28" s="357" t="str">
        <f>IFERROR(IF('Table 5-B| MPTE VOC'!K35="","",IF(J28="Yes",(H28*I28*(1-VLOOKUP(K28,'Emission Controls'!$A$3:$L$16,7,))),IF(J28="No",H28*I28,""))),"")</f>
        <v/>
      </c>
      <c r="M28" s="136">
        <f>IFERROR(VLOOKUP(K28,'Emission Controls'!$A$3:$B$16,2,),0)</f>
        <v>0</v>
      </c>
    </row>
    <row r="29" spans="1:26" s="106" customFormat="1" ht="18" customHeight="1" x14ac:dyDescent="0.2">
      <c r="A29" s="1482" t="str">
        <f>IF(ISBLANK('Table 5-B| MPTE VOC'!A36),"",'Table 5-B| MPTE VOC'!A36&amp;" -- "&amp;'Table 5-B| MPTE VOC'!B36&amp;": "&amp;'Table 5-B| MPTE VOC'!D36)</f>
        <v/>
      </c>
      <c r="B29" s="1483"/>
      <c r="C29" s="1484"/>
      <c r="D29" s="539" t="str">
        <f>IF(ISBLANK('Table 5-B| MPTE VOC'!C36),"",'Table 5-B| MPTE VOC'!C36)</f>
        <v/>
      </c>
      <c r="E29" s="404" t="str">
        <f>IF(ISBLANK('Table 5-B| MPTE VOC'!E36),"",'Table 5-B| MPTE VOC'!E36)</f>
        <v/>
      </c>
      <c r="F29" s="351"/>
      <c r="G29" s="351"/>
      <c r="H29" s="355" t="str">
        <f>IF(F29="No",'Table 5-B| MPTE VOC'!I36,IF(AND(F29="Yes",NOT(ISBLANK(G29))),('Table 5-B| MPTE VOC'!I36*(G29/E29)),""))</f>
        <v/>
      </c>
      <c r="I29" s="405" t="str">
        <f>IF(ISBLANK('Table 5-B| MPTE VOC'!J36),"",'Table 5-B| MPTE VOC'!J36)</f>
        <v/>
      </c>
      <c r="J29" s="351"/>
      <c r="K29" s="356"/>
      <c r="L29" s="357" t="str">
        <f>IFERROR(IF('Table 5-B| MPTE VOC'!K36="","",IF(J29="Yes",(H29*I29*(1-VLOOKUP(K29,'Emission Controls'!$A$3:$L$16,7,))),IF(J29="No",H29*I29,""))),"")</f>
        <v/>
      </c>
      <c r="M29" s="136">
        <f>IFERROR(VLOOKUP(K29,'Emission Controls'!$A$3:$B$16,2,),0)</f>
        <v>0</v>
      </c>
    </row>
    <row r="30" spans="1:26" s="106" customFormat="1" ht="18" customHeight="1" x14ac:dyDescent="0.2">
      <c r="A30" s="1482" t="str">
        <f>IF(ISBLANK('Table 5-B| MPTE VOC'!A37),"",'Table 5-B| MPTE VOC'!A37&amp;" -- "&amp;'Table 5-B| MPTE VOC'!B37&amp;": "&amp;'Table 5-B| MPTE VOC'!D37)</f>
        <v/>
      </c>
      <c r="B30" s="1483"/>
      <c r="C30" s="1484"/>
      <c r="D30" s="539" t="str">
        <f>IF(ISBLANK('Table 5-B| MPTE VOC'!C37),"",'Table 5-B| MPTE VOC'!C37)</f>
        <v/>
      </c>
      <c r="E30" s="404" t="str">
        <f>IF(ISBLANK('Table 5-B| MPTE VOC'!E37),"",'Table 5-B| MPTE VOC'!E37)</f>
        <v/>
      </c>
      <c r="F30" s="351"/>
      <c r="G30" s="351"/>
      <c r="H30" s="355" t="str">
        <f>IF(F30="No",'Table 5-B| MPTE VOC'!I37,IF(AND(F30="Yes",NOT(ISBLANK(G30))),('Table 5-B| MPTE VOC'!I37*(G30/E30)),""))</f>
        <v/>
      </c>
      <c r="I30" s="405" t="str">
        <f>IF(ISBLANK('Table 5-B| MPTE VOC'!J37),"",'Table 5-B| MPTE VOC'!J37)</f>
        <v/>
      </c>
      <c r="J30" s="351"/>
      <c r="K30" s="356"/>
      <c r="L30" s="357" t="str">
        <f>IFERROR(IF('Table 5-B| MPTE VOC'!K37="","",IF(J30="Yes",(H30*I30*(1-VLOOKUP(K30,'Emission Controls'!$A$3:$L$16,7,))),IF(J30="No",H30*I30,""))),"")</f>
        <v/>
      </c>
      <c r="M30" s="136">
        <f>IFERROR(VLOOKUP(K30,'Emission Controls'!$A$3:$B$16,2,),0)</f>
        <v>0</v>
      </c>
    </row>
    <row r="31" spans="1:26" s="106" customFormat="1" ht="18" customHeight="1" x14ac:dyDescent="0.2">
      <c r="A31" s="1482" t="str">
        <f>IF(ISBLANK('Table 5-B| MPTE VOC'!A38),"",'Table 5-B| MPTE VOC'!A38&amp;" -- "&amp;'Table 5-B| MPTE VOC'!B38&amp;": "&amp;'Table 5-B| MPTE VOC'!D38)</f>
        <v/>
      </c>
      <c r="B31" s="1483"/>
      <c r="C31" s="1484"/>
      <c r="D31" s="539" t="str">
        <f>IF(ISBLANK('Table 5-B| MPTE VOC'!C38),"",'Table 5-B| MPTE VOC'!C38)</f>
        <v/>
      </c>
      <c r="E31" s="404" t="str">
        <f>IF(ISBLANK('Table 5-B| MPTE VOC'!E38),"",'Table 5-B| MPTE VOC'!E38)</f>
        <v/>
      </c>
      <c r="F31" s="351"/>
      <c r="G31" s="351"/>
      <c r="H31" s="355" t="str">
        <f>IF(F31="No",'Table 5-B| MPTE VOC'!I38,IF(AND(F31="Yes",NOT(ISBLANK(G31))),('Table 5-B| MPTE VOC'!I38*(G31/E31)),""))</f>
        <v/>
      </c>
      <c r="I31" s="405" t="str">
        <f>IF(ISBLANK('Table 5-B| MPTE VOC'!J38),"",'Table 5-B| MPTE VOC'!J38)</f>
        <v/>
      </c>
      <c r="J31" s="351"/>
      <c r="K31" s="356"/>
      <c r="L31" s="357" t="str">
        <f>IFERROR(IF('Table 5-B| MPTE VOC'!K38="","",IF(J31="Yes",(H31*I31*(1-VLOOKUP(K31,'Emission Controls'!$A$3:$L$16,7,))),IF(J31="No",H31*I31,""))),"")</f>
        <v/>
      </c>
      <c r="M31" s="136">
        <f>IFERROR(VLOOKUP(K31,'Emission Controls'!$A$3:$B$16,2,),0)</f>
        <v>0</v>
      </c>
    </row>
    <row r="32" spans="1:26" s="106" customFormat="1" ht="18" customHeight="1" x14ac:dyDescent="0.2">
      <c r="A32" s="1482" t="str">
        <f>IF(ISBLANK('Table 5-B| MPTE VOC'!A39),"",'Table 5-B| MPTE VOC'!A39&amp;" -- "&amp;'Table 5-B| MPTE VOC'!B39&amp;": "&amp;'Table 5-B| MPTE VOC'!D39)</f>
        <v/>
      </c>
      <c r="B32" s="1483"/>
      <c r="C32" s="1484"/>
      <c r="D32" s="539" t="str">
        <f>IF(ISBLANK('Table 5-B| MPTE VOC'!C39),"",'Table 5-B| MPTE VOC'!C39)</f>
        <v/>
      </c>
      <c r="E32" s="404" t="str">
        <f>IF(ISBLANK('Table 5-B| MPTE VOC'!E39),"",'Table 5-B| MPTE VOC'!E39)</f>
        <v/>
      </c>
      <c r="F32" s="351"/>
      <c r="G32" s="351"/>
      <c r="H32" s="355" t="str">
        <f>IF(F32="No",'Table 5-B| MPTE VOC'!I39,IF(AND(F32="Yes",NOT(ISBLANK(G32))),('Table 5-B| MPTE VOC'!I39*(G32/E32)),""))</f>
        <v/>
      </c>
      <c r="I32" s="405" t="str">
        <f>IF(ISBLANK('Table 5-B| MPTE VOC'!J39),"",'Table 5-B| MPTE VOC'!J39)</f>
        <v/>
      </c>
      <c r="J32" s="351"/>
      <c r="K32" s="356"/>
      <c r="L32" s="357" t="str">
        <f>IFERROR(IF('Table 5-B| MPTE VOC'!K39="","",IF(J32="Yes",(H32*I32*(1-VLOOKUP(K32,'Emission Controls'!$A$3:$L$16,7,))),IF(J32="No",H32*I32,""))),"")</f>
        <v/>
      </c>
      <c r="M32" s="136">
        <f>IFERROR(VLOOKUP(K32,'Emission Controls'!$A$3:$B$16,2,),0)</f>
        <v>0</v>
      </c>
    </row>
    <row r="33" spans="1:13" s="106" customFormat="1" ht="18" customHeight="1" x14ac:dyDescent="0.2">
      <c r="A33" s="1482" t="str">
        <f>IF(ISBLANK('Table 5-B| MPTE VOC'!A40),"",'Table 5-B| MPTE VOC'!A40&amp;" -- "&amp;'Table 5-B| MPTE VOC'!B40&amp;": "&amp;'Table 5-B| MPTE VOC'!D40)</f>
        <v/>
      </c>
      <c r="B33" s="1483"/>
      <c r="C33" s="1484"/>
      <c r="D33" s="539" t="str">
        <f>IF(ISBLANK('Table 5-B| MPTE VOC'!C40),"",'Table 5-B| MPTE VOC'!C40)</f>
        <v/>
      </c>
      <c r="E33" s="404" t="str">
        <f>IF(ISBLANK('Table 5-B| MPTE VOC'!E40),"",'Table 5-B| MPTE VOC'!E40)</f>
        <v/>
      </c>
      <c r="F33" s="351"/>
      <c r="G33" s="351"/>
      <c r="H33" s="355" t="str">
        <f>IF(F33="No",'Table 5-B| MPTE VOC'!I40,IF(AND(F33="Yes",NOT(ISBLANK(G33))),('Table 5-B| MPTE VOC'!I40*(G33/E33)),""))</f>
        <v/>
      </c>
      <c r="I33" s="405" t="str">
        <f>IF(ISBLANK('Table 5-B| MPTE VOC'!J40),"",'Table 5-B| MPTE VOC'!J40)</f>
        <v/>
      </c>
      <c r="J33" s="351"/>
      <c r="K33" s="356"/>
      <c r="L33" s="357" t="str">
        <f>IFERROR(IF('Table 5-B| MPTE VOC'!K40="","",IF(J33="Yes",(H33*I33*(1-VLOOKUP(K33,'Emission Controls'!$A$3:$L$16,7,))),IF(J33="No",H33*I33,""))),"")</f>
        <v/>
      </c>
      <c r="M33" s="136">
        <f>IFERROR(VLOOKUP(K33,'Emission Controls'!$A$3:$B$16,2,),0)</f>
        <v>0</v>
      </c>
    </row>
    <row r="34" spans="1:13" s="106" customFormat="1" ht="18" customHeight="1" x14ac:dyDescent="0.2">
      <c r="A34" s="1482" t="str">
        <f>IF(ISBLANK('Table 5-B| MPTE VOC'!A41),"",'Table 5-B| MPTE VOC'!A41&amp;" -- "&amp;'Table 5-B| MPTE VOC'!B41&amp;": "&amp;'Table 5-B| MPTE VOC'!D41)</f>
        <v/>
      </c>
      <c r="B34" s="1483"/>
      <c r="C34" s="1484"/>
      <c r="D34" s="539" t="str">
        <f>IF(ISBLANK('Table 5-B| MPTE VOC'!C41),"",'Table 5-B| MPTE VOC'!C41)</f>
        <v/>
      </c>
      <c r="E34" s="404" t="str">
        <f>IF(ISBLANK('Table 5-B| MPTE VOC'!E41),"",'Table 5-B| MPTE VOC'!E41)</f>
        <v/>
      </c>
      <c r="F34" s="351"/>
      <c r="G34" s="351"/>
      <c r="H34" s="355" t="str">
        <f>IF(F34="No",'Table 5-B| MPTE VOC'!I41,IF(AND(F34="Yes",NOT(ISBLANK(G34))),('Table 5-B| MPTE VOC'!I41*(G34/E34)),""))</f>
        <v/>
      </c>
      <c r="I34" s="405" t="str">
        <f>IF(ISBLANK('Table 5-B| MPTE VOC'!J41),"",'Table 5-B| MPTE VOC'!J41)</f>
        <v/>
      </c>
      <c r="J34" s="351"/>
      <c r="K34" s="356"/>
      <c r="L34" s="357" t="str">
        <f>IFERROR(IF('Table 5-B| MPTE VOC'!K41="","",IF(J34="Yes",(H34*I34*(1-VLOOKUP(K34,'Emission Controls'!$A$3:$L$16,7,))),IF(J34="No",H34*I34,""))),"")</f>
        <v/>
      </c>
      <c r="M34" s="136">
        <f>IFERROR(VLOOKUP(K34,'Emission Controls'!$A$3:$B$16,2,),0)</f>
        <v>0</v>
      </c>
    </row>
    <row r="35" spans="1:13" s="106" customFormat="1" ht="18" customHeight="1" x14ac:dyDescent="0.2">
      <c r="A35" s="1482" t="str">
        <f>IF(ISBLANK('Table 5-B| MPTE VOC'!A42),"",'Table 5-B| MPTE VOC'!A42&amp;" -- "&amp;'Table 5-B| MPTE VOC'!B42&amp;": "&amp;'Table 5-B| MPTE VOC'!D42)</f>
        <v/>
      </c>
      <c r="B35" s="1483"/>
      <c r="C35" s="1484"/>
      <c r="D35" s="539" t="str">
        <f>IF(ISBLANK('Table 5-B| MPTE VOC'!C42),"",'Table 5-B| MPTE VOC'!C42)</f>
        <v/>
      </c>
      <c r="E35" s="404" t="str">
        <f>IF(ISBLANK('Table 5-B| MPTE VOC'!E42),"",'Table 5-B| MPTE VOC'!E42)</f>
        <v/>
      </c>
      <c r="F35" s="351"/>
      <c r="G35" s="351"/>
      <c r="H35" s="355" t="str">
        <f>IF(F35="No",'Table 5-B| MPTE VOC'!I42,IF(AND(F35="Yes",NOT(ISBLANK(G35))),('Table 5-B| MPTE VOC'!I42*(G35/E35)),""))</f>
        <v/>
      </c>
      <c r="I35" s="405" t="str">
        <f>IF(ISBLANK('Table 5-B| MPTE VOC'!J42),"",'Table 5-B| MPTE VOC'!J42)</f>
        <v/>
      </c>
      <c r="J35" s="351"/>
      <c r="K35" s="356"/>
      <c r="L35" s="357" t="str">
        <f>IFERROR(IF('Table 5-B| MPTE VOC'!K42="","",IF(J35="Yes",(H35*I35*(1-VLOOKUP(K35,'Emission Controls'!$A$3:$L$16,7,))),IF(J35="No",H35*I35,""))),"")</f>
        <v/>
      </c>
      <c r="M35" s="136">
        <f>IFERROR(VLOOKUP(K35,'Emission Controls'!$A$3:$B$16,2,),0)</f>
        <v>0</v>
      </c>
    </row>
    <row r="36" spans="1:13" s="106" customFormat="1" ht="18" customHeight="1" x14ac:dyDescent="0.2">
      <c r="A36" s="1482" t="str">
        <f>IF(ISBLANK('Table 5-B| MPTE VOC'!A43),"",'Table 5-B| MPTE VOC'!A43&amp;" -- "&amp;'Table 5-B| MPTE VOC'!B43&amp;": "&amp;'Table 5-B| MPTE VOC'!D43)</f>
        <v/>
      </c>
      <c r="B36" s="1483"/>
      <c r="C36" s="1484"/>
      <c r="D36" s="539" t="str">
        <f>IF(ISBLANK('Table 5-B| MPTE VOC'!C43),"",'Table 5-B| MPTE VOC'!C43)</f>
        <v/>
      </c>
      <c r="E36" s="404" t="str">
        <f>IF(ISBLANK('Table 5-B| MPTE VOC'!E43),"",'Table 5-B| MPTE VOC'!E43)</f>
        <v/>
      </c>
      <c r="F36" s="351"/>
      <c r="G36" s="351"/>
      <c r="H36" s="355" t="str">
        <f>IF(F36="No",'Table 5-B| MPTE VOC'!I43,IF(AND(F36="Yes",NOT(ISBLANK(G36))),('Table 5-B| MPTE VOC'!I43*(G36/E36)),""))</f>
        <v/>
      </c>
      <c r="I36" s="405" t="str">
        <f>IF(ISBLANK('Table 5-B| MPTE VOC'!J43),"",'Table 5-B| MPTE VOC'!J43)</f>
        <v/>
      </c>
      <c r="J36" s="351"/>
      <c r="K36" s="356"/>
      <c r="L36" s="357" t="str">
        <f>IFERROR(IF('Table 5-B| MPTE VOC'!K43="","",IF(J36="Yes",(H36*I36*(1-VLOOKUP(K36,'Emission Controls'!$A$3:$L$16,7,))),IF(J36="No",H36*I36,""))),"")</f>
        <v/>
      </c>
      <c r="M36" s="136">
        <f>IFERROR(VLOOKUP(K36,'Emission Controls'!$A$3:$B$16,2,),0)</f>
        <v>0</v>
      </c>
    </row>
    <row r="37" spans="1:13" s="106" customFormat="1" ht="18" customHeight="1" x14ac:dyDescent="0.2">
      <c r="A37" s="1482" t="str">
        <f>IF(ISBLANK('Table 5-B| MPTE VOC'!A44),"",'Table 5-B| MPTE VOC'!A44&amp;" -- "&amp;'Table 5-B| MPTE VOC'!B44&amp;": "&amp;'Table 5-B| MPTE VOC'!D44)</f>
        <v/>
      </c>
      <c r="B37" s="1483"/>
      <c r="C37" s="1484"/>
      <c r="D37" s="539" t="str">
        <f>IF(ISBLANK('Table 5-B| MPTE VOC'!C44),"",'Table 5-B| MPTE VOC'!C44)</f>
        <v/>
      </c>
      <c r="E37" s="404" t="str">
        <f>IF(ISBLANK('Table 5-B| MPTE VOC'!E44),"",'Table 5-B| MPTE VOC'!E44)</f>
        <v/>
      </c>
      <c r="F37" s="351"/>
      <c r="G37" s="351"/>
      <c r="H37" s="355" t="str">
        <f>IF(F37="No",'Table 5-B| MPTE VOC'!I44,IF(AND(F37="Yes",NOT(ISBLANK(G37))),('Table 5-B| MPTE VOC'!I44*(G37/E37)),""))</f>
        <v/>
      </c>
      <c r="I37" s="405" t="str">
        <f>IF(ISBLANK('Table 5-B| MPTE VOC'!J44),"",'Table 5-B| MPTE VOC'!J44)</f>
        <v/>
      </c>
      <c r="J37" s="351"/>
      <c r="K37" s="356"/>
      <c r="L37" s="357" t="str">
        <f>IFERROR(IF('Table 5-B| MPTE VOC'!K44="","",IF(J37="Yes",(H37*I37*(1-VLOOKUP(K37,'Emission Controls'!$A$3:$L$16,7,))),IF(J37="No",H37*I37,""))),"")</f>
        <v/>
      </c>
      <c r="M37" s="136">
        <f>IFERROR(VLOOKUP(K37,'Emission Controls'!$A$3:$B$16,2,),0)</f>
        <v>0</v>
      </c>
    </row>
    <row r="38" spans="1:13" s="106" customFormat="1" ht="18" customHeight="1" x14ac:dyDescent="0.2">
      <c r="A38" s="1482" t="str">
        <f>IF(ISBLANK('Table 5-B| MPTE VOC'!A45),"",'Table 5-B| MPTE VOC'!A45&amp;" -- "&amp;'Table 5-B| MPTE VOC'!B45&amp;": "&amp;'Table 5-B| MPTE VOC'!D45)</f>
        <v/>
      </c>
      <c r="B38" s="1483"/>
      <c r="C38" s="1484"/>
      <c r="D38" s="539" t="str">
        <f>IF(ISBLANK('Table 5-B| MPTE VOC'!C45),"",'Table 5-B| MPTE VOC'!C45)</f>
        <v/>
      </c>
      <c r="E38" s="404" t="str">
        <f>IF(ISBLANK('Table 5-B| MPTE VOC'!E45),"",'Table 5-B| MPTE VOC'!E45)</f>
        <v/>
      </c>
      <c r="F38" s="351"/>
      <c r="G38" s="351"/>
      <c r="H38" s="355" t="str">
        <f>IF(F38="No",'Table 5-B| MPTE VOC'!I45,IF(AND(F38="Yes",NOT(ISBLANK(G38))),('Table 5-B| MPTE VOC'!I45*(G38/E38)),""))</f>
        <v/>
      </c>
      <c r="I38" s="405" t="str">
        <f>IF(ISBLANK('Table 5-B| MPTE VOC'!J45),"",'Table 5-B| MPTE VOC'!J45)</f>
        <v/>
      </c>
      <c r="J38" s="351"/>
      <c r="K38" s="356"/>
      <c r="L38" s="357" t="str">
        <f>IFERROR(IF('Table 5-B| MPTE VOC'!K45="","",IF(J38="Yes",(H38*I38*(1-VLOOKUP(K38,'Emission Controls'!$A$3:$L$16,7,))),IF(J38="No",H38*I38,""))),"")</f>
        <v/>
      </c>
      <c r="M38" s="136">
        <f>IFERROR(VLOOKUP(K38,'Emission Controls'!$A$3:$B$16,2,),0)</f>
        <v>0</v>
      </c>
    </row>
    <row r="39" spans="1:13" s="106" customFormat="1" ht="18" customHeight="1" x14ac:dyDescent="0.2">
      <c r="A39" s="1482" t="str">
        <f>IF(ISBLANK('Table 5-B| MPTE VOC'!A46),"",'Table 5-B| MPTE VOC'!A46&amp;" -- "&amp;'Table 5-B| MPTE VOC'!B46&amp;": "&amp;'Table 5-B| MPTE VOC'!D46)</f>
        <v/>
      </c>
      <c r="B39" s="1483"/>
      <c r="C39" s="1484"/>
      <c r="D39" s="539" t="str">
        <f>IF(ISBLANK('Table 5-B| MPTE VOC'!C46),"",'Table 5-B| MPTE VOC'!C46)</f>
        <v/>
      </c>
      <c r="E39" s="404" t="str">
        <f>IF(ISBLANK('Table 5-B| MPTE VOC'!E46),"",'Table 5-B| MPTE VOC'!E46)</f>
        <v/>
      </c>
      <c r="F39" s="351"/>
      <c r="G39" s="351"/>
      <c r="H39" s="355" t="str">
        <f>IF(F39="No",'Table 5-B| MPTE VOC'!I46,IF(AND(F39="Yes",NOT(ISBLANK(G39))),('Table 5-B| MPTE VOC'!I46*(G39/E39)),""))</f>
        <v/>
      </c>
      <c r="I39" s="405" t="str">
        <f>IF(ISBLANK('Table 5-B| MPTE VOC'!J46),"",'Table 5-B| MPTE VOC'!J46)</f>
        <v/>
      </c>
      <c r="J39" s="351"/>
      <c r="K39" s="356"/>
      <c r="L39" s="357" t="str">
        <f>IFERROR(IF('Table 5-B| MPTE VOC'!K46="","",IF(J39="Yes",(H39*I39*(1-VLOOKUP(K39,'Emission Controls'!$A$3:$L$16,7,))),IF(J39="No",H39*I39,""))),"")</f>
        <v/>
      </c>
      <c r="M39" s="136">
        <f>IFERROR(VLOOKUP(K39,'Emission Controls'!$A$3:$B$16,2,),0)</f>
        <v>0</v>
      </c>
    </row>
    <row r="40" spans="1:13" s="106" customFormat="1" ht="18" customHeight="1" x14ac:dyDescent="0.2">
      <c r="A40" s="1482" t="str">
        <f>IF(ISBLANK('Table 5-B| MPTE VOC'!A47),"",'Table 5-B| MPTE VOC'!A47&amp;" -- "&amp;'Table 5-B| MPTE VOC'!B47&amp;": "&amp;'Table 5-B| MPTE VOC'!D47)</f>
        <v/>
      </c>
      <c r="B40" s="1483"/>
      <c r="C40" s="1484"/>
      <c r="D40" s="539" t="str">
        <f>IF(ISBLANK('Table 5-B| MPTE VOC'!C47),"",'Table 5-B| MPTE VOC'!C47)</f>
        <v/>
      </c>
      <c r="E40" s="404" t="str">
        <f>IF(ISBLANK('Table 5-B| MPTE VOC'!E47),"",'Table 5-B| MPTE VOC'!E47)</f>
        <v/>
      </c>
      <c r="F40" s="351"/>
      <c r="G40" s="351"/>
      <c r="H40" s="355" t="str">
        <f>IF(F40="No",'Table 5-B| MPTE VOC'!I47,IF(AND(F40="Yes",NOT(ISBLANK(G40))),('Table 5-B| MPTE VOC'!I47*(G40/E40)),""))</f>
        <v/>
      </c>
      <c r="I40" s="405" t="str">
        <f>IF(ISBLANK('Table 5-B| MPTE VOC'!J47),"",'Table 5-B| MPTE VOC'!J47)</f>
        <v/>
      </c>
      <c r="J40" s="351"/>
      <c r="K40" s="356"/>
      <c r="L40" s="357" t="str">
        <f>IFERROR(IF('Table 5-B| MPTE VOC'!K47="","",IF(J40="Yes",(H40*I40*(1-VLOOKUP(K40,'Emission Controls'!$A$3:$L$16,7,))),IF(J40="No",H40*I40,""))),"")</f>
        <v/>
      </c>
      <c r="M40" s="136">
        <f>IFERROR(VLOOKUP(K40,'Emission Controls'!$A$3:$B$16,2,),0)</f>
        <v>0</v>
      </c>
    </row>
    <row r="41" spans="1:13" s="106" customFormat="1" ht="18" customHeight="1" x14ac:dyDescent="0.2">
      <c r="A41" s="1482" t="str">
        <f>IF(ISBLANK('Table 5-B| MPTE VOC'!A48),"",'Table 5-B| MPTE VOC'!A48&amp;" -- "&amp;'Table 5-B| MPTE VOC'!B48&amp;": "&amp;'Table 5-B| MPTE VOC'!D48)</f>
        <v/>
      </c>
      <c r="B41" s="1483"/>
      <c r="C41" s="1484"/>
      <c r="D41" s="539" t="str">
        <f>IF(ISBLANK('Table 5-B| MPTE VOC'!C48),"",'Table 5-B| MPTE VOC'!C48)</f>
        <v/>
      </c>
      <c r="E41" s="404" t="str">
        <f>IF(ISBLANK('Table 5-B| MPTE VOC'!E48),"",'Table 5-B| MPTE VOC'!E48)</f>
        <v/>
      </c>
      <c r="F41" s="351"/>
      <c r="G41" s="351"/>
      <c r="H41" s="355" t="str">
        <f>IF(F41="No",'Table 5-B| MPTE VOC'!I48,IF(AND(F41="Yes",NOT(ISBLANK(G41))),('Table 5-B| MPTE VOC'!I48*(G41/E41)),""))</f>
        <v/>
      </c>
      <c r="I41" s="405" t="str">
        <f>IF(ISBLANK('Table 5-B| MPTE VOC'!J48),"",'Table 5-B| MPTE VOC'!J48)</f>
        <v/>
      </c>
      <c r="J41" s="351"/>
      <c r="K41" s="356"/>
      <c r="L41" s="357" t="str">
        <f>IFERROR(IF('Table 5-B| MPTE VOC'!K48="","",IF(J41="Yes",(H41*I41*(1-VLOOKUP(K41,'Emission Controls'!$A$3:$L$16,7,))),IF(J41="No",H41*I41,""))),"")</f>
        <v/>
      </c>
      <c r="M41" s="136">
        <f>IFERROR(VLOOKUP(K41,'Emission Controls'!$A$3:$B$16,2,),0)</f>
        <v>0</v>
      </c>
    </row>
    <row r="42" spans="1:13" s="106" customFormat="1" ht="18" customHeight="1" x14ac:dyDescent="0.2">
      <c r="A42" s="1482" t="str">
        <f>IF(ISBLANK('Table 5-B| MPTE VOC'!A49),"",'Table 5-B| MPTE VOC'!A49&amp;" -- "&amp;'Table 5-B| MPTE VOC'!B49&amp;": "&amp;'Table 5-B| MPTE VOC'!D49)</f>
        <v/>
      </c>
      <c r="B42" s="1483"/>
      <c r="C42" s="1484"/>
      <c r="D42" s="539" t="str">
        <f>IF(ISBLANK('Table 5-B| MPTE VOC'!C49),"",'Table 5-B| MPTE VOC'!C49)</f>
        <v/>
      </c>
      <c r="E42" s="404" t="str">
        <f>IF(ISBLANK('Table 5-B| MPTE VOC'!E49),"",'Table 5-B| MPTE VOC'!E49)</f>
        <v/>
      </c>
      <c r="F42" s="351"/>
      <c r="G42" s="351"/>
      <c r="H42" s="355" t="str">
        <f>IF(F42="No",'Table 5-B| MPTE VOC'!I49,IF(AND(F42="Yes",NOT(ISBLANK(G42))),('Table 5-B| MPTE VOC'!I49*(G42/E42)),""))</f>
        <v/>
      </c>
      <c r="I42" s="405" t="str">
        <f>IF(ISBLANK('Table 5-B| MPTE VOC'!J49),"",'Table 5-B| MPTE VOC'!J49)</f>
        <v/>
      </c>
      <c r="J42" s="351"/>
      <c r="K42" s="356"/>
      <c r="L42" s="357" t="str">
        <f>IFERROR(IF('Table 5-B| MPTE VOC'!K49="","",IF(J42="Yes",(H42*I42*(1-VLOOKUP(K42,'Emission Controls'!$A$3:$L$16,7,))),IF(J42="No",H42*I42,""))),"")</f>
        <v/>
      </c>
      <c r="M42" s="136">
        <f>IFERROR(VLOOKUP(K42,'Emission Controls'!$A$3:$B$16,2,),0)</f>
        <v>0</v>
      </c>
    </row>
    <row r="43" spans="1:13" s="106" customFormat="1" ht="18" customHeight="1" x14ac:dyDescent="0.2">
      <c r="A43" s="1482" t="str">
        <f>IF(ISBLANK('Table 5-B| MPTE VOC'!A50),"",'Table 5-B| MPTE VOC'!A50&amp;" -- "&amp;'Table 5-B| MPTE VOC'!B50&amp;": "&amp;'Table 5-B| MPTE VOC'!D50)</f>
        <v/>
      </c>
      <c r="B43" s="1483"/>
      <c r="C43" s="1484"/>
      <c r="D43" s="539" t="str">
        <f>IF(ISBLANK('Table 5-B| MPTE VOC'!C50),"",'Table 5-B| MPTE VOC'!C50)</f>
        <v/>
      </c>
      <c r="E43" s="404" t="str">
        <f>IF(ISBLANK('Table 5-B| MPTE VOC'!E50),"",'Table 5-B| MPTE VOC'!E50)</f>
        <v/>
      </c>
      <c r="F43" s="351"/>
      <c r="G43" s="351"/>
      <c r="H43" s="355" t="str">
        <f>IF(F43="No",'Table 5-B| MPTE VOC'!I50,IF(AND(F43="Yes",NOT(ISBLANK(G43))),('Table 5-B| MPTE VOC'!I50*(G43/E43)),""))</f>
        <v/>
      </c>
      <c r="I43" s="405" t="str">
        <f>IF(ISBLANK('Table 5-B| MPTE VOC'!J50),"",'Table 5-B| MPTE VOC'!J50)</f>
        <v/>
      </c>
      <c r="J43" s="351"/>
      <c r="K43" s="356"/>
      <c r="L43" s="357" t="str">
        <f>IFERROR(IF('Table 5-B| MPTE VOC'!K50="","",IF(J43="Yes",(H43*I43*(1-VLOOKUP(K43,'Emission Controls'!$A$3:$L$16,7,))),IF(J43="No",H43*I43,""))),"")</f>
        <v/>
      </c>
      <c r="M43" s="136">
        <f>IFERROR(VLOOKUP(K43,'Emission Controls'!$A$3:$B$16,2,),0)</f>
        <v>0</v>
      </c>
    </row>
    <row r="44" spans="1:13" s="106" customFormat="1" ht="18" customHeight="1" x14ac:dyDescent="0.2">
      <c r="A44" s="1482" t="str">
        <f>IF(ISBLANK('Table 5-B| MPTE VOC'!A51),"",'Table 5-B| MPTE VOC'!A51&amp;" -- "&amp;'Table 5-B| MPTE VOC'!B51&amp;": "&amp;'Table 5-B| MPTE VOC'!D51)</f>
        <v/>
      </c>
      <c r="B44" s="1483"/>
      <c r="C44" s="1484"/>
      <c r="D44" s="539" t="str">
        <f>IF(ISBLANK('Table 5-B| MPTE VOC'!C51),"",'Table 5-B| MPTE VOC'!C51)</f>
        <v/>
      </c>
      <c r="E44" s="404" t="str">
        <f>IF(ISBLANK('Table 5-B| MPTE VOC'!E51),"",'Table 5-B| MPTE VOC'!E51)</f>
        <v/>
      </c>
      <c r="F44" s="351"/>
      <c r="G44" s="351"/>
      <c r="H44" s="355" t="str">
        <f>IF(F44="No",'Table 5-B| MPTE VOC'!I51,IF(AND(F44="Yes",NOT(ISBLANK(G44))),('Table 5-B| MPTE VOC'!I51*(G44/E44)),""))</f>
        <v/>
      </c>
      <c r="I44" s="405" t="str">
        <f>IF(ISBLANK('Table 5-B| MPTE VOC'!J51),"",'Table 5-B| MPTE VOC'!J51)</f>
        <v/>
      </c>
      <c r="J44" s="351"/>
      <c r="K44" s="356"/>
      <c r="L44" s="357" t="str">
        <f>IFERROR(IF('Table 5-B| MPTE VOC'!K51="","",IF(J44="Yes",(H44*I44*(1-VLOOKUP(K44,'Emission Controls'!$A$3:$L$16,7,))),IF(J44="No",H44*I44,""))),"")</f>
        <v/>
      </c>
      <c r="M44" s="136">
        <f>IFERROR(VLOOKUP(K44,'Emission Controls'!$A$3:$B$16,2,),0)</f>
        <v>0</v>
      </c>
    </row>
    <row r="45" spans="1:13" s="106" customFormat="1" ht="18" customHeight="1" x14ac:dyDescent="0.2">
      <c r="A45" s="1482" t="str">
        <f>IF(ISBLANK('Table 5-B| MPTE VOC'!A52),"",'Table 5-B| MPTE VOC'!A52&amp;" -- "&amp;'Table 5-B| MPTE VOC'!B52&amp;": "&amp;'Table 5-B| MPTE VOC'!D52)</f>
        <v/>
      </c>
      <c r="B45" s="1483"/>
      <c r="C45" s="1484"/>
      <c r="D45" s="539" t="str">
        <f>IF(ISBLANK('Table 5-B| MPTE VOC'!C52),"",'Table 5-B| MPTE VOC'!C52)</f>
        <v/>
      </c>
      <c r="E45" s="404" t="str">
        <f>IF(ISBLANK('Table 5-B| MPTE VOC'!E52),"",'Table 5-B| MPTE VOC'!E52)</f>
        <v/>
      </c>
      <c r="F45" s="351"/>
      <c r="G45" s="351"/>
      <c r="H45" s="355" t="str">
        <f>IF(F45="No",'Table 5-B| MPTE VOC'!I52,IF(AND(F45="Yes",NOT(ISBLANK(G45))),('Table 5-B| MPTE VOC'!I52*(G45/E45)),""))</f>
        <v/>
      </c>
      <c r="I45" s="405" t="str">
        <f>IF(ISBLANK('Table 5-B| MPTE VOC'!J52),"",'Table 5-B| MPTE VOC'!J52)</f>
        <v/>
      </c>
      <c r="J45" s="351"/>
      <c r="K45" s="356"/>
      <c r="L45" s="357" t="str">
        <f>IFERROR(IF('Table 5-B| MPTE VOC'!K52="","",IF(J45="Yes",(H45*I45*(1-VLOOKUP(K45,'Emission Controls'!$A$3:$L$16,7,))),IF(J45="No",H45*I45,""))),"")</f>
        <v/>
      </c>
      <c r="M45" s="136">
        <f>IFERROR(VLOOKUP(K45,'Emission Controls'!$A$3:$B$16,2,),0)</f>
        <v>0</v>
      </c>
    </row>
    <row r="46" spans="1:13" s="106" customFormat="1" ht="18" customHeight="1" x14ac:dyDescent="0.2">
      <c r="A46" s="1482" t="str">
        <f>IF(ISBLANK('Table 5-B| MPTE VOC'!A53),"",'Table 5-B| MPTE VOC'!A53&amp;" -- "&amp;'Table 5-B| MPTE VOC'!B53&amp;": "&amp;'Table 5-B| MPTE VOC'!D53)</f>
        <v/>
      </c>
      <c r="B46" s="1483"/>
      <c r="C46" s="1484"/>
      <c r="D46" s="539" t="str">
        <f>IF(ISBLANK('Table 5-B| MPTE VOC'!C53),"",'Table 5-B| MPTE VOC'!C53)</f>
        <v/>
      </c>
      <c r="E46" s="404" t="str">
        <f>IF(ISBLANK('Table 5-B| MPTE VOC'!E53),"",'Table 5-B| MPTE VOC'!E53)</f>
        <v/>
      </c>
      <c r="F46" s="351"/>
      <c r="G46" s="351"/>
      <c r="H46" s="355" t="str">
        <f>IF(F46="No",'Table 5-B| MPTE VOC'!I53,IF(AND(F46="Yes",NOT(ISBLANK(G46))),('Table 5-B| MPTE VOC'!I53*(G46/E46)),""))</f>
        <v/>
      </c>
      <c r="I46" s="405" t="str">
        <f>IF(ISBLANK('Table 5-B| MPTE VOC'!J53),"",'Table 5-B| MPTE VOC'!J53)</f>
        <v/>
      </c>
      <c r="J46" s="351"/>
      <c r="K46" s="356"/>
      <c r="L46" s="357" t="str">
        <f>IFERROR(IF('Table 5-B| MPTE VOC'!K53="","",IF(J46="Yes",(H46*I46*(1-VLOOKUP(K46,'Emission Controls'!$A$3:$L$16,7,))),IF(J46="No",H46*I46,""))),"")</f>
        <v/>
      </c>
      <c r="M46" s="136">
        <f>IFERROR(VLOOKUP(K46,'Emission Controls'!$A$3:$B$16,2,),0)</f>
        <v>0</v>
      </c>
    </row>
    <row r="47" spans="1:13" s="106" customFormat="1" ht="18" customHeight="1" x14ac:dyDescent="0.2">
      <c r="A47" s="1482" t="str">
        <f>IF(ISBLANK('Table 5-B| MPTE VOC'!A54),"",'Table 5-B| MPTE VOC'!A54&amp;" -- "&amp;'Table 5-B| MPTE VOC'!B54&amp;": "&amp;'Table 5-B| MPTE VOC'!D54)</f>
        <v/>
      </c>
      <c r="B47" s="1483"/>
      <c r="C47" s="1484"/>
      <c r="D47" s="539" t="str">
        <f>IF(ISBLANK('Table 5-B| MPTE VOC'!C54),"",'Table 5-B| MPTE VOC'!C54)</f>
        <v/>
      </c>
      <c r="E47" s="404" t="str">
        <f>IF(ISBLANK('Table 5-B| MPTE VOC'!E54),"",'Table 5-B| MPTE VOC'!E54)</f>
        <v/>
      </c>
      <c r="F47" s="351"/>
      <c r="G47" s="351"/>
      <c r="H47" s="355" t="str">
        <f>IF(F47="No",'Table 5-B| MPTE VOC'!I54,IF(AND(F47="Yes",NOT(ISBLANK(G47))),('Table 5-B| MPTE VOC'!I54*(G47/E47)),""))</f>
        <v/>
      </c>
      <c r="I47" s="405" t="str">
        <f>IF(ISBLANK('Table 5-B| MPTE VOC'!J54),"",'Table 5-B| MPTE VOC'!J54)</f>
        <v/>
      </c>
      <c r="J47" s="351"/>
      <c r="K47" s="356"/>
      <c r="L47" s="357" t="str">
        <f>IFERROR(IF('Table 5-B| MPTE VOC'!K54="","",IF(J47="Yes",(H47*I47*(1-VLOOKUP(K47,'Emission Controls'!$A$3:$L$16,7,))),IF(J47="No",H47*I47,""))),"")</f>
        <v/>
      </c>
      <c r="M47" s="136">
        <f>IFERROR(VLOOKUP(K47,'Emission Controls'!$A$3:$B$16,2,),0)</f>
        <v>0</v>
      </c>
    </row>
    <row r="48" spans="1:13" s="106" customFormat="1" ht="18" customHeight="1" x14ac:dyDescent="0.2">
      <c r="A48" s="1482" t="str">
        <f>IF(ISBLANK('Table 5-B| MPTE VOC'!A55),"",'Table 5-B| MPTE VOC'!A55&amp;" -- "&amp;'Table 5-B| MPTE VOC'!B55&amp;": "&amp;'Table 5-B| MPTE VOC'!D55)</f>
        <v/>
      </c>
      <c r="B48" s="1483"/>
      <c r="C48" s="1484"/>
      <c r="D48" s="539" t="str">
        <f>IF(ISBLANK('Table 5-B| MPTE VOC'!C55),"",'Table 5-B| MPTE VOC'!C55)</f>
        <v/>
      </c>
      <c r="E48" s="404" t="str">
        <f>IF(ISBLANK('Table 5-B| MPTE VOC'!E55),"",'Table 5-B| MPTE VOC'!E55)</f>
        <v/>
      </c>
      <c r="F48" s="351"/>
      <c r="G48" s="351"/>
      <c r="H48" s="355" t="str">
        <f>IF(F48="No",'Table 5-B| MPTE VOC'!I55,IF(AND(F48="Yes",NOT(ISBLANK(G48))),('Table 5-B| MPTE VOC'!I55*(G48/E48)),""))</f>
        <v/>
      </c>
      <c r="I48" s="405" t="str">
        <f>IF(ISBLANK('Table 5-B| MPTE VOC'!J55),"",'Table 5-B| MPTE VOC'!J55)</f>
        <v/>
      </c>
      <c r="J48" s="351"/>
      <c r="K48" s="356"/>
      <c r="L48" s="357" t="str">
        <f>IFERROR(IF('Table 5-B| MPTE VOC'!K55="","",IF(J48="Yes",(H48*I48*(1-VLOOKUP(K48,'Emission Controls'!$A$3:$L$16,7,))),IF(J48="No",H48*I48,""))),"")</f>
        <v/>
      </c>
      <c r="M48" s="136">
        <f>IFERROR(VLOOKUP(K48,'Emission Controls'!$A$3:$B$16,2,),0)</f>
        <v>0</v>
      </c>
    </row>
    <row r="49" spans="1:13" s="106" customFormat="1" ht="18" customHeight="1" x14ac:dyDescent="0.2">
      <c r="A49" s="1482" t="str">
        <f>IF(ISBLANK('Table 5-B| MPTE VOC'!A56),"",'Table 5-B| MPTE VOC'!A56&amp;" -- "&amp;'Table 5-B| MPTE VOC'!B56&amp;": "&amp;'Table 5-B| MPTE VOC'!D56)</f>
        <v/>
      </c>
      <c r="B49" s="1483"/>
      <c r="C49" s="1484"/>
      <c r="D49" s="539" t="str">
        <f>IF(ISBLANK('Table 5-B| MPTE VOC'!C56),"",'Table 5-B| MPTE VOC'!C56)</f>
        <v/>
      </c>
      <c r="E49" s="404" t="str">
        <f>IF(ISBLANK('Table 5-B| MPTE VOC'!E56),"",'Table 5-B| MPTE VOC'!E56)</f>
        <v/>
      </c>
      <c r="F49" s="351"/>
      <c r="G49" s="351"/>
      <c r="H49" s="355" t="str">
        <f>IF(F49="No",'Table 5-B| MPTE VOC'!I56,IF(AND(F49="Yes",NOT(ISBLANK(G49))),('Table 5-B| MPTE VOC'!I56*(G49/E49)),""))</f>
        <v/>
      </c>
      <c r="I49" s="405" t="str">
        <f>IF(ISBLANK('Table 5-B| MPTE VOC'!J56),"",'Table 5-B| MPTE VOC'!J56)</f>
        <v/>
      </c>
      <c r="J49" s="351"/>
      <c r="K49" s="356"/>
      <c r="L49" s="357" t="str">
        <f>IFERROR(IF('Table 5-B| MPTE VOC'!K56="","",IF(J49="Yes",(H49*I49*(1-VLOOKUP(K49,'Emission Controls'!$A$3:$L$16,7,))),IF(J49="No",H49*I49,""))),"")</f>
        <v/>
      </c>
      <c r="M49" s="136">
        <f>IFERROR(VLOOKUP(K49,'Emission Controls'!$A$3:$B$16,2,),0)</f>
        <v>0</v>
      </c>
    </row>
    <row r="50" spans="1:13" s="106" customFormat="1" ht="18" customHeight="1" x14ac:dyDescent="0.2">
      <c r="A50" s="1482" t="str">
        <f>IF(ISBLANK('Table 5-B| MPTE VOC'!A57),"",'Table 5-B| MPTE VOC'!A57&amp;" -- "&amp;'Table 5-B| MPTE VOC'!B57&amp;": "&amp;'Table 5-B| MPTE VOC'!D57)</f>
        <v/>
      </c>
      <c r="B50" s="1483"/>
      <c r="C50" s="1484"/>
      <c r="D50" s="539" t="str">
        <f>IF(ISBLANK('Table 5-B| MPTE VOC'!C57),"",'Table 5-B| MPTE VOC'!C57)</f>
        <v/>
      </c>
      <c r="E50" s="404" t="str">
        <f>IF(ISBLANK('Table 5-B| MPTE VOC'!E57),"",'Table 5-B| MPTE VOC'!E57)</f>
        <v/>
      </c>
      <c r="F50" s="351"/>
      <c r="G50" s="351"/>
      <c r="H50" s="355" t="str">
        <f>IF(F50="No",'Table 5-B| MPTE VOC'!I57,IF(AND(F50="Yes",NOT(ISBLANK(G50))),('Table 5-B| MPTE VOC'!I57*(G50/E50)),""))</f>
        <v/>
      </c>
      <c r="I50" s="405" t="str">
        <f>IF(ISBLANK('Table 5-B| MPTE VOC'!J57),"",'Table 5-B| MPTE VOC'!J57)</f>
        <v/>
      </c>
      <c r="J50" s="351"/>
      <c r="K50" s="356"/>
      <c r="L50" s="357" t="str">
        <f>IFERROR(IF('Table 5-B| MPTE VOC'!K57="","",IF(J50="Yes",(H50*I50*(1-VLOOKUP(K50,'Emission Controls'!$A$3:$L$16,7,))),IF(J50="No",H50*I50,""))),"")</f>
        <v/>
      </c>
      <c r="M50" s="136">
        <f>IFERROR(VLOOKUP(K50,'Emission Controls'!$A$3:$B$16,2,),0)</f>
        <v>0</v>
      </c>
    </row>
    <row r="51" spans="1:13" s="106" customFormat="1" ht="18" customHeight="1" x14ac:dyDescent="0.2">
      <c r="A51" s="1482" t="str">
        <f>IF(ISBLANK('Table 5-B| MPTE VOC'!A58),"",'Table 5-B| MPTE VOC'!A58&amp;" -- "&amp;'Table 5-B| MPTE VOC'!B58&amp;": "&amp;'Table 5-B| MPTE VOC'!D58)</f>
        <v/>
      </c>
      <c r="B51" s="1483"/>
      <c r="C51" s="1484"/>
      <c r="D51" s="539" t="str">
        <f>IF(ISBLANK('Table 5-B| MPTE VOC'!C58),"",'Table 5-B| MPTE VOC'!C58)</f>
        <v/>
      </c>
      <c r="E51" s="404" t="str">
        <f>IF(ISBLANK('Table 5-B| MPTE VOC'!E58),"",'Table 5-B| MPTE VOC'!E58)</f>
        <v/>
      </c>
      <c r="F51" s="351"/>
      <c r="G51" s="351"/>
      <c r="H51" s="355" t="str">
        <f>IF(F51="No",'Table 5-B| MPTE VOC'!I58,IF(AND(F51="Yes",NOT(ISBLANK(G51))),('Table 5-B| MPTE VOC'!I58*(G51/E51)),""))</f>
        <v/>
      </c>
      <c r="I51" s="405" t="str">
        <f>IF(ISBLANK('Table 5-B| MPTE VOC'!J58),"",'Table 5-B| MPTE VOC'!J58)</f>
        <v/>
      </c>
      <c r="J51" s="351"/>
      <c r="K51" s="356"/>
      <c r="L51" s="357" t="str">
        <f>IFERROR(IF('Table 5-B| MPTE VOC'!K58="","",IF(J51="Yes",(H51*I51*(1-VLOOKUP(K51,'Emission Controls'!$A$3:$L$16,7,))),IF(J51="No",H51*I51,""))),"")</f>
        <v/>
      </c>
      <c r="M51" s="136">
        <f>IFERROR(VLOOKUP(K51,'Emission Controls'!$A$3:$B$16,2,),0)</f>
        <v>0</v>
      </c>
    </row>
    <row r="52" spans="1:13" s="106" customFormat="1" ht="18" customHeight="1" x14ac:dyDescent="0.2">
      <c r="A52" s="1482" t="str">
        <f>IF(ISBLANK('Table 5-B| MPTE VOC'!A59),"",'Table 5-B| MPTE VOC'!A59&amp;" -- "&amp;'Table 5-B| MPTE VOC'!B59&amp;": "&amp;'Table 5-B| MPTE VOC'!D59)</f>
        <v/>
      </c>
      <c r="B52" s="1483"/>
      <c r="C52" s="1484"/>
      <c r="D52" s="539" t="str">
        <f>IF(ISBLANK('Table 5-B| MPTE VOC'!C59),"",'Table 5-B| MPTE VOC'!C59)</f>
        <v/>
      </c>
      <c r="E52" s="404" t="str">
        <f>IF(ISBLANK('Table 5-B| MPTE VOC'!E59),"",'Table 5-B| MPTE VOC'!E59)</f>
        <v/>
      </c>
      <c r="F52" s="351"/>
      <c r="G52" s="351"/>
      <c r="H52" s="355" t="str">
        <f>IF(F52="No",'Table 5-B| MPTE VOC'!I59,IF(AND(F52="Yes",NOT(ISBLANK(G52))),('Table 5-B| MPTE VOC'!I59*(G52/E52)),""))</f>
        <v/>
      </c>
      <c r="I52" s="405" t="str">
        <f>IF(ISBLANK('Table 5-B| MPTE VOC'!J59),"",'Table 5-B| MPTE VOC'!J59)</f>
        <v/>
      </c>
      <c r="J52" s="351"/>
      <c r="K52" s="356"/>
      <c r="L52" s="357" t="str">
        <f>IFERROR(IF('Table 5-B| MPTE VOC'!K59="","",IF(J52="Yes",(H52*I52*(1-VLOOKUP(K52,'Emission Controls'!$A$3:$L$16,7,))),IF(J52="No",H52*I52,""))),"")</f>
        <v/>
      </c>
      <c r="M52" s="136">
        <f>IFERROR(VLOOKUP(K52,'Emission Controls'!$A$3:$B$16,2,),0)</f>
        <v>0</v>
      </c>
    </row>
    <row r="53" spans="1:13" s="106" customFormat="1" ht="18" customHeight="1" x14ac:dyDescent="0.2">
      <c r="A53" s="1482" t="str">
        <f>IF(ISBLANK('Table 5-B| MPTE VOC'!A60),"",'Table 5-B| MPTE VOC'!A60&amp;" -- "&amp;'Table 5-B| MPTE VOC'!B60&amp;": "&amp;'Table 5-B| MPTE VOC'!D60)</f>
        <v/>
      </c>
      <c r="B53" s="1483"/>
      <c r="C53" s="1484"/>
      <c r="D53" s="539" t="str">
        <f>IF(ISBLANK('Table 5-B| MPTE VOC'!C60),"",'Table 5-B| MPTE VOC'!C60)</f>
        <v/>
      </c>
      <c r="E53" s="404" t="str">
        <f>IF(ISBLANK('Table 5-B| MPTE VOC'!E60),"",'Table 5-B| MPTE VOC'!E60)</f>
        <v/>
      </c>
      <c r="F53" s="351"/>
      <c r="G53" s="351"/>
      <c r="H53" s="355" t="str">
        <f>IF(F53="No",'Table 5-B| MPTE VOC'!I60,IF(AND(F53="Yes",NOT(ISBLANK(G53))),('Table 5-B| MPTE VOC'!I60*(G53/E53)),""))</f>
        <v/>
      </c>
      <c r="I53" s="405" t="str">
        <f>IF(ISBLANK('Table 5-B| MPTE VOC'!J60),"",'Table 5-B| MPTE VOC'!J60)</f>
        <v/>
      </c>
      <c r="J53" s="351"/>
      <c r="K53" s="356"/>
      <c r="L53" s="357" t="str">
        <f>IFERROR(IF('Table 5-B| MPTE VOC'!K60="","",IF(J53="Yes",(H53*I53*(1-VLOOKUP(K53,'Emission Controls'!$A$3:$L$16,7,))),IF(J53="No",H53*I53,""))),"")</f>
        <v/>
      </c>
      <c r="M53" s="136">
        <f>IFERROR(VLOOKUP(K53,'Emission Controls'!$A$3:$B$16,2,),0)</f>
        <v>0</v>
      </c>
    </row>
    <row r="54" spans="1:13" s="106" customFormat="1" ht="18" customHeight="1" x14ac:dyDescent="0.2">
      <c r="A54" s="1482" t="str">
        <f>IF(ISBLANK('Table 5-B| MPTE VOC'!A61),"",'Table 5-B| MPTE VOC'!A61&amp;" -- "&amp;'Table 5-B| MPTE VOC'!B61&amp;": "&amp;'Table 5-B| MPTE VOC'!D61)</f>
        <v/>
      </c>
      <c r="B54" s="1483"/>
      <c r="C54" s="1484"/>
      <c r="D54" s="539" t="str">
        <f>IF(ISBLANK('Table 5-B| MPTE VOC'!C61),"",'Table 5-B| MPTE VOC'!C61)</f>
        <v/>
      </c>
      <c r="E54" s="404" t="str">
        <f>IF(ISBLANK('Table 5-B| MPTE VOC'!E61),"",'Table 5-B| MPTE VOC'!E61)</f>
        <v/>
      </c>
      <c r="F54" s="351"/>
      <c r="G54" s="351"/>
      <c r="H54" s="355" t="str">
        <f>IF(F54="No",'Table 5-B| MPTE VOC'!I61,IF(AND(F54="Yes",NOT(ISBLANK(G54))),('Table 5-B| MPTE VOC'!I61*(G54/E54)),""))</f>
        <v/>
      </c>
      <c r="I54" s="405" t="str">
        <f>IF(ISBLANK('Table 5-B| MPTE VOC'!J61),"",'Table 5-B| MPTE VOC'!J61)</f>
        <v/>
      </c>
      <c r="J54" s="351"/>
      <c r="K54" s="356"/>
      <c r="L54" s="357" t="str">
        <f>IFERROR(IF('Table 5-B| MPTE VOC'!K61="","",IF(J54="Yes",(H54*I54*(1-VLOOKUP(K54,'Emission Controls'!$A$3:$L$16,7,))),IF(J54="No",H54*I54,""))),"")</f>
        <v/>
      </c>
      <c r="M54" s="136">
        <f>IFERROR(VLOOKUP(K54,'Emission Controls'!$A$3:$B$16,2,),0)</f>
        <v>0</v>
      </c>
    </row>
    <row r="55" spans="1:13" s="106" customFormat="1" ht="18" customHeight="1" thickBot="1" x14ac:dyDescent="0.25">
      <c r="A55" s="1498" t="str">
        <f>IF(ISBLANK('Table 5-B| MPTE VOC'!A62),"",'Table 5-B| MPTE VOC'!A62&amp;" -- "&amp;'Table 5-B| MPTE VOC'!B62&amp;": "&amp;'Table 5-B| MPTE VOC'!D62)</f>
        <v/>
      </c>
      <c r="B55" s="1499"/>
      <c r="C55" s="1500"/>
      <c r="D55" s="540" t="str">
        <f>IF(ISBLANK('Table 5-B| MPTE VOC'!C62),"",'Table 5-B| MPTE VOC'!C62)</f>
        <v/>
      </c>
      <c r="E55" s="406" t="str">
        <f>IF(ISBLANK('Table 5-B| MPTE VOC'!E62),"",'Table 5-B| MPTE VOC'!E62)</f>
        <v/>
      </c>
      <c r="F55" s="360"/>
      <c r="G55" s="360"/>
      <c r="H55" s="364" t="str">
        <f>IF(F55="No",'Table 5-B| MPTE VOC'!I62,IF(AND(F55="Yes",NOT(ISBLANK(G55))),('Table 5-B| MPTE VOC'!I62*(G55/E55)),""))</f>
        <v/>
      </c>
      <c r="I55" s="407" t="str">
        <f>IF(ISBLANK('Table 5-B| MPTE VOC'!J62),"",'Table 5-B| MPTE VOC'!J62)</f>
        <v/>
      </c>
      <c r="J55" s="360"/>
      <c r="K55" s="365"/>
      <c r="L55" s="366" t="str">
        <f>IFERROR(IF('Table 5-B| MPTE VOC'!K62="","",IF(J55="Yes",(H55*I55*(1-VLOOKUP(K55,'Emission Controls'!$A$3:$L$16,7,))),IF(J55="No",H55*I55,""))),"")</f>
        <v/>
      </c>
      <c r="M55" s="136">
        <f>IFERROR(VLOOKUP(K55,'Emission Controls'!$A$3:$B$16,2,),0)</f>
        <v>0</v>
      </c>
    </row>
    <row r="56" spans="1:13" x14ac:dyDescent="0.2">
      <c r="A56" s="113"/>
    </row>
  </sheetData>
  <sheetProtection algorithmName="SHA-512" hashValue="/dNNShE3KCHGks8k03n05LzpAmuq08XkKYJNTa1fONX8SKDzLUFWnCozxa9fKcYv7aAC2Jq0ywT3ZPdQHGApNg==" saltValue="yeXdduLsIO6wcU0bUwxEGQ==" spinCount="100000" sheet="1" objects="1" scenarios="1"/>
  <mergeCells count="55">
    <mergeCell ref="A53:C53"/>
    <mergeCell ref="A54:C54"/>
    <mergeCell ref="A55:C55"/>
    <mergeCell ref="A43:C43"/>
    <mergeCell ref="A44:C44"/>
    <mergeCell ref="A45:C45"/>
    <mergeCell ref="A46:C46"/>
    <mergeCell ref="A47:C47"/>
    <mergeCell ref="A48:C48"/>
    <mergeCell ref="A49:C49"/>
    <mergeCell ref="A50:C50"/>
    <mergeCell ref="A51:C51"/>
    <mergeCell ref="A52:C52"/>
    <mergeCell ref="A33:C33"/>
    <mergeCell ref="A34:C34"/>
    <mergeCell ref="A35:C35"/>
    <mergeCell ref="A36:C36"/>
    <mergeCell ref="A37:C37"/>
    <mergeCell ref="A38:C38"/>
    <mergeCell ref="A39:C39"/>
    <mergeCell ref="A40:C40"/>
    <mergeCell ref="A41:C41"/>
    <mergeCell ref="A42:C42"/>
    <mergeCell ref="A31:C31"/>
    <mergeCell ref="A32:C32"/>
    <mergeCell ref="B3:L3"/>
    <mergeCell ref="A2:L2"/>
    <mergeCell ref="A1:L1"/>
    <mergeCell ref="A13:C13"/>
    <mergeCell ref="A12:C12"/>
    <mergeCell ref="D10:D11"/>
    <mergeCell ref="A10:C11"/>
    <mergeCell ref="K10:K11"/>
    <mergeCell ref="B8:L8"/>
    <mergeCell ref="B7:L7"/>
    <mergeCell ref="B6:L6"/>
    <mergeCell ref="B5:L5"/>
    <mergeCell ref="B4:L4"/>
    <mergeCell ref="A28:C28"/>
    <mergeCell ref="A25:C25"/>
    <mergeCell ref="A26:C26"/>
    <mergeCell ref="A27:C27"/>
    <mergeCell ref="A29:C29"/>
    <mergeCell ref="A30:C30"/>
    <mergeCell ref="A15:L15"/>
    <mergeCell ref="A21:C22"/>
    <mergeCell ref="K21:K22"/>
    <mergeCell ref="A23:C23"/>
    <mergeCell ref="A24:C24"/>
    <mergeCell ref="A19:L19"/>
    <mergeCell ref="A18:L18"/>
    <mergeCell ref="A17:L17"/>
    <mergeCell ref="D21:D22"/>
    <mergeCell ref="A16:L16"/>
    <mergeCell ref="A20:K20"/>
  </mergeCells>
  <conditionalFormatting sqref="F23:F55">
    <cfRule type="expression" dxfId="49" priority="12">
      <formula>AND(NOT(A23=""),NOT(E23=""),ISBLANK(F23))</formula>
    </cfRule>
  </conditionalFormatting>
  <conditionalFormatting sqref="G23:G55">
    <cfRule type="expression" dxfId="48" priority="10">
      <formula>AND(NOT(A23=""),NOT(E23=""),F23="No")</formula>
    </cfRule>
    <cfRule type="expression" dxfId="47" priority="11">
      <formula>AND(NOT(A23=""),NOT(E23=""),F23="Yes",ISBLANK(G23))</formula>
    </cfRule>
  </conditionalFormatting>
  <conditionalFormatting sqref="J23:J55">
    <cfRule type="expression" dxfId="46" priority="9">
      <formula>AND(NOT(A23=""),NOT(E23=""),NOT(H23=""),ISBLANK(J23))</formula>
    </cfRule>
  </conditionalFormatting>
  <conditionalFormatting sqref="K23:K55">
    <cfRule type="expression" dxfId="45" priority="7" stopIfTrue="1">
      <formula>AND(NOT(A23=""),NOT(E23=""),NOT(H23=""),J23="No")</formula>
    </cfRule>
    <cfRule type="expression" dxfId="44" priority="8">
      <formula>AND(NOT(A23=""),NOT(E23=""),NOT(H23=""),NOT(ISBLANK(J23)),ISBLANK(K23))</formula>
    </cfRule>
  </conditionalFormatting>
  <dataValidations disablePrompts="1" count="2">
    <dataValidation type="list" showInputMessage="1" showErrorMessage="1" errorTitle="Error." error="Must select either &quot;Yes&quot; or &quot;No&quot;!" promptTitle="Throughput Limit" prompt="Indicate whether you agreed to limit throughput of this material in Table 6-A." sqref="F23:F55 J12:J13 J23:J55" xr:uid="{00000000-0002-0000-1100-000000000000}">
      <formula1>$W$23:$W$24</formula1>
    </dataValidation>
    <dataValidation type="list" showInputMessage="1" showErrorMessage="1" errorTitle="Error." error="Must select a control device!" promptTitle="Control Device" prompt="If you agreed to control emissions, indicate the type of control device used." sqref="K23:K55" xr:uid="{00000000-0002-0000-1100-000001000000}">
      <formula1>$Z$23:$Z$25</formula1>
    </dataValidation>
  </dataValidations>
  <printOptions horizontalCentered="1"/>
  <pageMargins left="0.5" right="0.5" top="0.5" bottom="0.5" header="0.3" footer="0.3"/>
  <pageSetup scale="56" orientation="landscape" r:id="rId1"/>
  <headerFooter>
    <oddFooter>&amp;L&amp;A&amp;RPage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2060"/>
    <pageSetUpPr fitToPage="1"/>
  </sheetPr>
  <dimension ref="A1:AD278"/>
  <sheetViews>
    <sheetView showGridLines="0" zoomScaleNormal="100" workbookViewId="0">
      <selection sqref="A1:L1"/>
    </sheetView>
  </sheetViews>
  <sheetFormatPr defaultRowHeight="14.25" x14ac:dyDescent="0.25"/>
  <cols>
    <col min="1" max="1" width="24.28515625" style="48" customWidth="1"/>
    <col min="2" max="2" width="19.7109375" style="48" customWidth="1"/>
    <col min="3" max="3" width="11.28515625" style="48" customWidth="1"/>
    <col min="4" max="4" width="12.7109375" style="48" customWidth="1"/>
    <col min="5" max="7" width="13.28515625" style="48" customWidth="1"/>
    <col min="8" max="9" width="12.7109375" style="48" customWidth="1"/>
    <col min="10" max="10" width="16.7109375" style="145" customWidth="1"/>
    <col min="11" max="11" width="12.7109375" style="145" customWidth="1"/>
    <col min="12" max="12" width="12.7109375" style="48" customWidth="1"/>
    <col min="13" max="15" width="9.140625" style="48" customWidth="1"/>
    <col min="16" max="16" width="15" style="48" customWidth="1"/>
    <col min="17" max="17" width="13" style="48" customWidth="1"/>
    <col min="18" max="18" width="14.42578125" style="48" customWidth="1"/>
    <col min="19" max="19" width="16.5703125" style="48" customWidth="1"/>
    <col min="20" max="20" width="16" style="48" customWidth="1"/>
    <col min="21" max="25" width="9.140625" style="48"/>
    <col min="26" max="26" width="23.42578125" style="48" bestFit="1" customWidth="1"/>
    <col min="27" max="16384" width="9.140625" style="48"/>
  </cols>
  <sheetData>
    <row r="1" spans="1:26" s="69" customFormat="1" ht="26.25" customHeight="1" thickBot="1" x14ac:dyDescent="0.3">
      <c r="A1" s="1255" t="s">
        <v>2337</v>
      </c>
      <c r="B1" s="1255"/>
      <c r="C1" s="1255"/>
      <c r="D1" s="1255"/>
      <c r="E1" s="1255"/>
      <c r="F1" s="1255"/>
      <c r="G1" s="1255"/>
      <c r="H1" s="1255"/>
      <c r="I1" s="1255"/>
      <c r="J1" s="1255"/>
      <c r="K1" s="1255"/>
      <c r="L1" s="1255"/>
      <c r="M1" s="79"/>
      <c r="N1" s="79"/>
      <c r="O1" s="79"/>
    </row>
    <row r="2" spans="1:26" s="160" customFormat="1" ht="35.1" customHeight="1" x14ac:dyDescent="0.25">
      <c r="A2" s="1310" t="s">
        <v>2338</v>
      </c>
      <c r="B2" s="1310"/>
      <c r="C2" s="1310"/>
      <c r="D2" s="1310"/>
      <c r="E2" s="1310"/>
      <c r="F2" s="1310"/>
      <c r="G2" s="1310"/>
      <c r="H2" s="1310"/>
      <c r="I2" s="1310"/>
      <c r="J2" s="1310"/>
      <c r="K2" s="1310"/>
      <c r="L2" s="1310"/>
      <c r="M2" s="163"/>
      <c r="N2" s="163"/>
      <c r="O2" s="163"/>
    </row>
    <row r="3" spans="1:26" s="160" customFormat="1" ht="35.1" customHeight="1" x14ac:dyDescent="0.25">
      <c r="A3" s="161">
        <v>1</v>
      </c>
      <c r="B3" s="1392" t="s">
        <v>1597</v>
      </c>
      <c r="C3" s="1392"/>
      <c r="D3" s="1392"/>
      <c r="E3" s="1392"/>
      <c r="F3" s="1392"/>
      <c r="G3" s="1392"/>
      <c r="H3" s="1392"/>
      <c r="I3" s="1392"/>
      <c r="J3" s="1392"/>
      <c r="K3" s="1392"/>
      <c r="L3" s="1392"/>
      <c r="M3" s="164"/>
      <c r="N3" s="164"/>
      <c r="O3" s="164"/>
    </row>
    <row r="4" spans="1:26" s="160" customFormat="1" ht="35.1" customHeight="1" x14ac:dyDescent="0.25">
      <c r="A4" s="161">
        <v>2</v>
      </c>
      <c r="B4" s="1392" t="s">
        <v>1868</v>
      </c>
      <c r="C4" s="1392"/>
      <c r="D4" s="1392"/>
      <c r="E4" s="1392"/>
      <c r="F4" s="1392"/>
      <c r="G4" s="1392"/>
      <c r="H4" s="1392"/>
      <c r="I4" s="1392"/>
      <c r="J4" s="1392"/>
      <c r="K4" s="1392"/>
      <c r="L4" s="1392"/>
      <c r="M4" s="164"/>
      <c r="N4" s="164"/>
      <c r="O4" s="164"/>
    </row>
    <row r="5" spans="1:26" s="160" customFormat="1" ht="35.1" customHeight="1" x14ac:dyDescent="0.25">
      <c r="A5" s="161">
        <v>3</v>
      </c>
      <c r="B5" s="1392" t="s">
        <v>1869</v>
      </c>
      <c r="C5" s="1392"/>
      <c r="D5" s="1392"/>
      <c r="E5" s="1392"/>
      <c r="F5" s="1392"/>
      <c r="G5" s="1392"/>
      <c r="H5" s="1392"/>
      <c r="I5" s="1392"/>
      <c r="J5" s="1392"/>
      <c r="K5" s="1392"/>
      <c r="L5" s="1392"/>
    </row>
    <row r="6" spans="1:26" s="160" customFormat="1" ht="50.1" customHeight="1" x14ac:dyDescent="0.25">
      <c r="A6" s="161">
        <v>4</v>
      </c>
      <c r="B6" s="1392" t="s">
        <v>1870</v>
      </c>
      <c r="C6" s="1392"/>
      <c r="D6" s="1392"/>
      <c r="E6" s="1392"/>
      <c r="F6" s="1392"/>
      <c r="G6" s="1392"/>
      <c r="H6" s="1392"/>
      <c r="I6" s="1392"/>
      <c r="J6" s="1392"/>
      <c r="K6" s="1392"/>
      <c r="L6" s="1392"/>
      <c r="M6" s="164"/>
      <c r="N6" s="164"/>
      <c r="O6" s="164"/>
    </row>
    <row r="7" spans="1:26" s="160" customFormat="1" ht="35.1" customHeight="1" x14ac:dyDescent="0.25">
      <c r="A7" s="161">
        <v>5</v>
      </c>
      <c r="B7" s="1392" t="s">
        <v>1871</v>
      </c>
      <c r="C7" s="1392"/>
      <c r="D7" s="1392"/>
      <c r="E7" s="1392"/>
      <c r="F7" s="1392"/>
      <c r="G7" s="1392"/>
      <c r="H7" s="1392"/>
      <c r="I7" s="1392"/>
      <c r="J7" s="1392"/>
      <c r="K7" s="1392"/>
      <c r="L7" s="1392"/>
      <c r="M7" s="164"/>
      <c r="N7" s="164"/>
      <c r="O7" s="164"/>
    </row>
    <row r="8" spans="1:26" s="160" customFormat="1" ht="24.95" customHeight="1" x14ac:dyDescent="0.25">
      <c r="A8" s="161">
        <v>6</v>
      </c>
      <c r="B8" s="1392" t="s">
        <v>2154</v>
      </c>
      <c r="C8" s="1392"/>
      <c r="D8" s="1392"/>
      <c r="E8" s="1392"/>
      <c r="F8" s="1392"/>
      <c r="G8" s="1392"/>
      <c r="H8" s="1392"/>
      <c r="I8" s="1392"/>
      <c r="J8" s="1392"/>
      <c r="K8" s="1392"/>
      <c r="L8" s="1392"/>
      <c r="M8" s="164"/>
      <c r="N8" s="164"/>
      <c r="O8" s="164"/>
    </row>
    <row r="9" spans="1:26" s="160" customFormat="1" ht="20.100000000000001" customHeight="1" x14ac:dyDescent="0.25">
      <c r="A9" s="161">
        <v>10</v>
      </c>
      <c r="B9" s="1392" t="s">
        <v>1622</v>
      </c>
      <c r="C9" s="1392"/>
      <c r="D9" s="1392"/>
      <c r="E9" s="1392"/>
      <c r="F9" s="1392"/>
      <c r="G9" s="1392"/>
      <c r="H9" s="1392"/>
      <c r="I9" s="1392"/>
      <c r="J9" s="1392"/>
      <c r="K9" s="1392"/>
      <c r="L9" s="1392"/>
      <c r="M9" s="164"/>
      <c r="N9" s="164"/>
      <c r="Q9" s="165"/>
    </row>
    <row r="10" spans="1:26" s="68" customFormat="1" ht="9.9499999999999993" customHeight="1" thickBot="1" x14ac:dyDescent="0.3">
      <c r="A10" s="121"/>
      <c r="M10" s="129"/>
      <c r="N10" s="129"/>
      <c r="O10" s="129"/>
    </row>
    <row r="11" spans="1:26" ht="45" customHeight="1" x14ac:dyDescent="0.25">
      <c r="A11" s="1388" t="s">
        <v>1603</v>
      </c>
      <c r="B11" s="1390" t="s">
        <v>20</v>
      </c>
      <c r="C11" s="1390" t="s">
        <v>69</v>
      </c>
      <c r="D11" s="1386" t="s">
        <v>1850</v>
      </c>
      <c r="E11" s="494" t="s">
        <v>1551</v>
      </c>
      <c r="F11" s="494" t="s">
        <v>1594</v>
      </c>
      <c r="G11" s="1386" t="s">
        <v>1606</v>
      </c>
      <c r="H11" s="1386" t="s">
        <v>1605</v>
      </c>
      <c r="I11" s="1386" t="s">
        <v>1552</v>
      </c>
      <c r="J11" s="1496" t="s">
        <v>1593</v>
      </c>
      <c r="K11" s="497" t="s">
        <v>12</v>
      </c>
      <c r="L11" s="99" t="s">
        <v>1602</v>
      </c>
      <c r="Q11" s="125"/>
      <c r="R11" s="125"/>
      <c r="S11" s="67"/>
      <c r="T11" s="67"/>
    </row>
    <row r="12" spans="1:26" ht="15.75" customHeight="1" thickBot="1" x14ac:dyDescent="0.3">
      <c r="A12" s="1389"/>
      <c r="B12" s="1391"/>
      <c r="C12" s="1391"/>
      <c r="D12" s="1387"/>
      <c r="E12" s="101" t="s">
        <v>1590</v>
      </c>
      <c r="F12" s="101" t="s">
        <v>1590</v>
      </c>
      <c r="G12" s="1387"/>
      <c r="H12" s="1387"/>
      <c r="I12" s="1387"/>
      <c r="J12" s="1497"/>
      <c r="K12" s="104" t="s">
        <v>17</v>
      </c>
      <c r="L12" s="105" t="s">
        <v>15</v>
      </c>
      <c r="Q12" s="125"/>
      <c r="R12" s="125"/>
    </row>
    <row r="13" spans="1:26" s="144" customFormat="1" ht="18" customHeight="1" x14ac:dyDescent="0.25">
      <c r="A13" s="408" t="s">
        <v>1516</v>
      </c>
      <c r="B13" s="409" t="s">
        <v>1523</v>
      </c>
      <c r="C13" s="410">
        <v>1330207</v>
      </c>
      <c r="D13" s="501" t="s">
        <v>2083</v>
      </c>
      <c r="E13" s="411" t="s">
        <v>75</v>
      </c>
      <c r="F13" s="411" t="s">
        <v>75</v>
      </c>
      <c r="G13" s="326">
        <v>1000</v>
      </c>
      <c r="H13" s="329" t="s">
        <v>1611</v>
      </c>
      <c r="I13" s="411">
        <v>500</v>
      </c>
      <c r="J13" s="412" t="s">
        <v>1565</v>
      </c>
      <c r="K13" s="330">
        <v>1</v>
      </c>
      <c r="L13" s="331">
        <v>37.500000000000036</v>
      </c>
      <c r="M13" s="136">
        <f>IFERROR(VLOOKUP(J13,'Emission Controls'!$A$3:$B$16,2,),0)</f>
        <v>11</v>
      </c>
      <c r="N13" s="48"/>
      <c r="O13" s="48"/>
      <c r="Q13" s="125"/>
      <c r="R13" s="125"/>
      <c r="S13" s="146"/>
      <c r="T13" s="146"/>
      <c r="U13" s="147"/>
      <c r="Z13" s="48"/>
    </row>
    <row r="14" spans="1:26" s="144" customFormat="1" ht="18" customHeight="1" x14ac:dyDescent="0.25">
      <c r="A14" s="413" t="s">
        <v>1621</v>
      </c>
      <c r="B14" s="414" t="s">
        <v>1</v>
      </c>
      <c r="C14" s="415">
        <v>108883</v>
      </c>
      <c r="D14" s="541"/>
      <c r="E14" s="416"/>
      <c r="F14" s="416"/>
      <c r="G14" s="417" t="s">
        <v>1621</v>
      </c>
      <c r="H14" s="418" t="s">
        <v>1621</v>
      </c>
      <c r="I14" s="416"/>
      <c r="J14" s="419"/>
      <c r="K14" s="420" t="s">
        <v>1621</v>
      </c>
      <c r="L14" s="339">
        <v>12.500000000000011</v>
      </c>
      <c r="M14" s="136">
        <f>IFERROR(VLOOKUP(J14,'Emission Controls'!$A$3:$B$16,2,),0)</f>
        <v>0</v>
      </c>
      <c r="N14" s="48"/>
      <c r="O14" s="48"/>
      <c r="Q14" s="125"/>
      <c r="R14" s="125"/>
      <c r="S14" s="146"/>
      <c r="T14" s="146"/>
      <c r="U14" s="147"/>
      <c r="Z14" s="48"/>
    </row>
    <row r="15" spans="1:26" s="144" customFormat="1" ht="18" customHeight="1" x14ac:dyDescent="0.25">
      <c r="A15" s="413" t="s">
        <v>1621</v>
      </c>
      <c r="B15" s="414" t="s">
        <v>109</v>
      </c>
      <c r="C15" s="415">
        <v>75092</v>
      </c>
      <c r="D15" s="541"/>
      <c r="E15" s="416"/>
      <c r="F15" s="416"/>
      <c r="G15" s="417" t="s">
        <v>1621</v>
      </c>
      <c r="H15" s="418" t="s">
        <v>1621</v>
      </c>
      <c r="I15" s="416"/>
      <c r="J15" s="419"/>
      <c r="K15" s="420" t="s">
        <v>1621</v>
      </c>
      <c r="L15" s="339">
        <v>150</v>
      </c>
      <c r="M15" s="136">
        <f>IFERROR(VLOOKUP(J15,'Emission Controls'!$A$3:$B$16,2,),0)</f>
        <v>0</v>
      </c>
      <c r="N15" s="48"/>
      <c r="O15" s="48"/>
      <c r="Q15" s="125"/>
      <c r="R15" s="125"/>
      <c r="S15" s="146"/>
      <c r="T15" s="146"/>
      <c r="U15" s="147"/>
      <c r="Z15" s="48"/>
    </row>
    <row r="16" spans="1:26" s="144" customFormat="1" ht="18" customHeight="1" x14ac:dyDescent="0.25">
      <c r="A16" s="413" t="s">
        <v>1520</v>
      </c>
      <c r="B16" s="414" t="s">
        <v>188</v>
      </c>
      <c r="C16" s="415">
        <v>110543</v>
      </c>
      <c r="D16" s="502" t="s">
        <v>2084</v>
      </c>
      <c r="E16" s="421" t="s">
        <v>75</v>
      </c>
      <c r="F16" s="421" t="s">
        <v>73</v>
      </c>
      <c r="G16" s="334">
        <v>5000</v>
      </c>
      <c r="H16" s="337" t="s">
        <v>1611</v>
      </c>
      <c r="I16" s="421">
        <v>1000</v>
      </c>
      <c r="J16" s="419"/>
      <c r="K16" s="338">
        <v>1</v>
      </c>
      <c r="L16" s="339">
        <v>1000</v>
      </c>
      <c r="M16" s="136">
        <f>IFERROR(VLOOKUP(J16,'Emission Controls'!$A$3:$B$16,2,),0)</f>
        <v>0</v>
      </c>
      <c r="N16" s="48"/>
      <c r="O16" s="48"/>
      <c r="Q16" s="125"/>
      <c r="R16" s="125"/>
      <c r="S16" s="146"/>
      <c r="T16" s="146"/>
      <c r="U16" s="147"/>
      <c r="Z16" s="48"/>
    </row>
    <row r="17" spans="1:30" s="144" customFormat="1" ht="18" customHeight="1" x14ac:dyDescent="0.25">
      <c r="A17" s="413" t="s">
        <v>1621</v>
      </c>
      <c r="B17" s="414" t="s">
        <v>95</v>
      </c>
      <c r="C17" s="415">
        <v>67561</v>
      </c>
      <c r="D17" s="541"/>
      <c r="E17" s="416"/>
      <c r="F17" s="416"/>
      <c r="G17" s="417" t="s">
        <v>1621</v>
      </c>
      <c r="H17" s="418" t="s">
        <v>1621</v>
      </c>
      <c r="I17" s="416"/>
      <c r="J17" s="419"/>
      <c r="K17" s="420" t="s">
        <v>1621</v>
      </c>
      <c r="L17" s="339">
        <v>500</v>
      </c>
      <c r="M17" s="136">
        <f>IFERROR(VLOOKUP(J17,'Emission Controls'!$A$3:$B$16,2,),0)</f>
        <v>0</v>
      </c>
      <c r="Q17" s="125"/>
      <c r="R17" s="125"/>
      <c r="S17" s="146"/>
      <c r="T17" s="146"/>
      <c r="U17" s="147"/>
      <c r="Z17" s="48"/>
    </row>
    <row r="18" spans="1:30" s="144" customFormat="1" ht="18" customHeight="1" x14ac:dyDescent="0.25">
      <c r="A18" s="413" t="s">
        <v>1621</v>
      </c>
      <c r="B18" s="414" t="s">
        <v>156</v>
      </c>
      <c r="C18" s="415">
        <v>98828</v>
      </c>
      <c r="D18" s="541"/>
      <c r="E18" s="416"/>
      <c r="F18" s="416"/>
      <c r="G18" s="417" t="s">
        <v>1621</v>
      </c>
      <c r="H18" s="418" t="s">
        <v>1621</v>
      </c>
      <c r="I18" s="416"/>
      <c r="J18" s="419"/>
      <c r="K18" s="420" t="s">
        <v>1621</v>
      </c>
      <c r="L18" s="339">
        <v>500</v>
      </c>
      <c r="M18" s="136">
        <f>IFERROR(VLOOKUP(J18,'Emission Controls'!$A$3:$B$16,2,),0)</f>
        <v>0</v>
      </c>
      <c r="Q18" s="125"/>
      <c r="R18" s="125"/>
      <c r="S18" s="146"/>
      <c r="T18" s="146"/>
      <c r="U18" s="147"/>
      <c r="Z18" s="48"/>
    </row>
    <row r="19" spans="1:30" s="144" customFormat="1" ht="18" customHeight="1" x14ac:dyDescent="0.25">
      <c r="A19" s="413" t="s">
        <v>1621</v>
      </c>
      <c r="B19" s="414" t="s">
        <v>160</v>
      </c>
      <c r="C19" s="415">
        <v>100414</v>
      </c>
      <c r="D19" s="541"/>
      <c r="E19" s="416"/>
      <c r="F19" s="416"/>
      <c r="G19" s="417" t="s">
        <v>1621</v>
      </c>
      <c r="H19" s="418" t="s">
        <v>1621</v>
      </c>
      <c r="I19" s="416"/>
      <c r="J19" s="419"/>
      <c r="K19" s="420" t="s">
        <v>1621</v>
      </c>
      <c r="L19" s="339">
        <v>250</v>
      </c>
      <c r="M19" s="136">
        <f>IFERROR(VLOOKUP(J19,'Emission Controls'!$A$3:$B$16,2,),0)</f>
        <v>0</v>
      </c>
      <c r="Q19" s="125"/>
      <c r="R19" s="125"/>
      <c r="S19" s="146"/>
      <c r="T19" s="146"/>
      <c r="U19" s="147"/>
      <c r="Z19" s="48"/>
    </row>
    <row r="20" spans="1:30" s="68" customFormat="1" ht="9" customHeight="1" x14ac:dyDescent="0.25">
      <c r="A20" s="121"/>
      <c r="B20" s="129"/>
      <c r="C20" s="129"/>
      <c r="D20" s="129"/>
      <c r="E20" s="129"/>
      <c r="F20" s="129"/>
      <c r="G20" s="129"/>
      <c r="H20" s="129"/>
      <c r="I20" s="129"/>
      <c r="J20" s="129"/>
      <c r="K20" s="129"/>
      <c r="L20" s="129"/>
      <c r="M20" s="129"/>
      <c r="N20" s="129"/>
      <c r="O20" s="129"/>
    </row>
    <row r="21" spans="1:30" s="68" customFormat="1" ht="15.75" customHeight="1" thickBot="1" x14ac:dyDescent="0.3">
      <c r="A21" s="1277"/>
      <c r="B21" s="1277"/>
      <c r="C21" s="1277"/>
      <c r="D21" s="1277"/>
      <c r="E21" s="1277"/>
      <c r="F21" s="1277"/>
      <c r="G21" s="1277"/>
      <c r="H21" s="1277"/>
      <c r="I21" s="1277"/>
      <c r="J21" s="1277"/>
      <c r="K21" s="1277"/>
      <c r="L21" s="1277"/>
      <c r="M21" s="85"/>
      <c r="N21" s="85"/>
      <c r="O21" s="85"/>
    </row>
    <row r="22" spans="1:30" s="77" customFormat="1" ht="19.5" thickBot="1" x14ac:dyDescent="0.3">
      <c r="A22" s="1211" t="s">
        <v>1422</v>
      </c>
      <c r="B22" s="1211"/>
      <c r="C22" s="1211"/>
      <c r="D22" s="1211"/>
      <c r="E22" s="1211"/>
      <c r="F22" s="1211"/>
      <c r="G22" s="1211"/>
      <c r="H22" s="1211"/>
      <c r="I22" s="1211"/>
      <c r="J22" s="1211"/>
      <c r="K22" s="1211"/>
      <c r="L22" s="1211"/>
      <c r="M22" s="90"/>
      <c r="N22" s="90"/>
      <c r="O22" s="90"/>
    </row>
    <row r="23" spans="1:30" ht="60" customHeight="1" x14ac:dyDescent="0.25">
      <c r="A23" s="1501"/>
      <c r="B23" s="1501"/>
      <c r="C23" s="1501"/>
      <c r="D23" s="1501"/>
      <c r="E23" s="1501"/>
      <c r="F23" s="1501"/>
      <c r="G23" s="1501"/>
      <c r="H23" s="1501"/>
      <c r="I23" s="1501"/>
      <c r="J23" s="1501"/>
      <c r="K23" s="1501"/>
      <c r="L23" s="1501"/>
      <c r="S23" s="139"/>
    </row>
    <row r="24" spans="1:30" ht="24.95" customHeight="1" x14ac:dyDescent="0.25">
      <c r="A24" s="1347" t="s">
        <v>1408</v>
      </c>
      <c r="B24" s="1347"/>
      <c r="C24" s="1347"/>
      <c r="D24" s="1347"/>
      <c r="E24" s="1347"/>
      <c r="F24" s="1347"/>
      <c r="G24" s="1347"/>
      <c r="H24" s="1347"/>
      <c r="I24" s="1347"/>
      <c r="J24" s="1347"/>
      <c r="K24" s="1347"/>
      <c r="L24" s="1347"/>
      <c r="M24" s="112"/>
      <c r="N24" s="112"/>
      <c r="O24" s="112"/>
    </row>
    <row r="25" spans="1:30" ht="24.95" customHeight="1" x14ac:dyDescent="0.25">
      <c r="A25" s="1002" t="s">
        <v>2339</v>
      </c>
      <c r="B25" s="1002"/>
      <c r="C25" s="1002"/>
      <c r="D25" s="1002"/>
      <c r="E25" s="1002"/>
      <c r="F25" s="1002"/>
      <c r="G25" s="1002"/>
      <c r="H25" s="1002"/>
      <c r="I25" s="1002"/>
      <c r="J25" s="1002"/>
      <c r="K25" s="1002"/>
      <c r="L25" s="1002"/>
      <c r="S25" s="139"/>
    </row>
    <row r="26" spans="1:30" ht="20.100000000000001" customHeight="1" thickBot="1" x14ac:dyDescent="0.3">
      <c r="A26" s="1383" t="s">
        <v>1673</v>
      </c>
      <c r="B26" s="1383"/>
      <c r="C26" s="1383"/>
      <c r="D26" s="1383"/>
      <c r="E26" s="1383"/>
      <c r="F26" s="1383"/>
      <c r="G26" s="1383"/>
      <c r="H26" s="1383"/>
      <c r="I26" s="1383"/>
      <c r="J26" s="1383"/>
      <c r="K26" s="1383"/>
      <c r="L26" s="843" t="str">
        <f>"Ver."&amp;" "&amp;TEXT(Introduction!$M$3,"MM/YYYY")</f>
        <v>Ver. 01/2025</v>
      </c>
    </row>
    <row r="27" spans="1:30" ht="45" customHeight="1" x14ac:dyDescent="0.25">
      <c r="A27" s="1381" t="s">
        <v>1603</v>
      </c>
      <c r="B27" s="1377" t="s">
        <v>20</v>
      </c>
      <c r="C27" s="1377" t="s">
        <v>69</v>
      </c>
      <c r="D27" s="1379" t="s">
        <v>1850</v>
      </c>
      <c r="E27" s="805" t="s">
        <v>1551</v>
      </c>
      <c r="F27" s="805" t="s">
        <v>1594</v>
      </c>
      <c r="G27" s="1379" t="s">
        <v>1606</v>
      </c>
      <c r="H27" s="1379" t="s">
        <v>1605</v>
      </c>
      <c r="I27" s="1379" t="s">
        <v>1552</v>
      </c>
      <c r="J27" s="1477" t="s">
        <v>1593</v>
      </c>
      <c r="K27" s="808" t="s">
        <v>12</v>
      </c>
      <c r="L27" s="788" t="s">
        <v>1602</v>
      </c>
      <c r="Q27" s="125" t="s">
        <v>1554</v>
      </c>
      <c r="R27" s="125" t="s">
        <v>1618</v>
      </c>
      <c r="S27" s="67" t="s">
        <v>1619</v>
      </c>
      <c r="T27" s="67" t="s">
        <v>1620</v>
      </c>
      <c r="U27" s="48" t="s">
        <v>1617</v>
      </c>
    </row>
    <row r="28" spans="1:30" ht="15.75" customHeight="1" thickBot="1" x14ac:dyDescent="0.3">
      <c r="A28" s="1382"/>
      <c r="B28" s="1378"/>
      <c r="C28" s="1378"/>
      <c r="D28" s="1380"/>
      <c r="E28" s="809" t="s">
        <v>1590</v>
      </c>
      <c r="F28" s="809" t="s">
        <v>1590</v>
      </c>
      <c r="G28" s="1380"/>
      <c r="H28" s="1380"/>
      <c r="I28" s="1380"/>
      <c r="J28" s="1478"/>
      <c r="K28" s="812" t="s">
        <v>17</v>
      </c>
      <c r="L28" s="813" t="s">
        <v>15</v>
      </c>
      <c r="Q28" s="125"/>
      <c r="R28" s="125"/>
      <c r="W28" s="48" t="s">
        <v>1591</v>
      </c>
      <c r="Z28" s="80" t="s">
        <v>1595</v>
      </c>
      <c r="AC28" s="483" t="s">
        <v>1826</v>
      </c>
      <c r="AD28" s="483"/>
    </row>
    <row r="29" spans="1:30" s="144" customFormat="1" ht="18" customHeight="1" x14ac:dyDescent="0.2">
      <c r="A29" s="422" t="str">
        <f>IF(ISBLANK('Table 5-C| MPTE HAP'!A38),"",'Table 5-C| MPTE HAP'!A38)</f>
        <v/>
      </c>
      <c r="B29" s="423" t="str">
        <f>IF(ISBLANK('Table 5-C| MPTE HAP'!B38),"",'Table 5-C| MPTE HAP'!B38)</f>
        <v/>
      </c>
      <c r="C29" s="424" t="str">
        <f>IF(ISBLANK('Table 5-C| MPTE HAP'!C38),"",'Table 5-C| MPTE HAP'!C38)</f>
        <v/>
      </c>
      <c r="D29" s="538" t="str">
        <f>IF(ISBLANK('Table 5-C| MPTE HAP'!D38),"",'Table 5-C| MPTE HAP'!D38)</f>
        <v/>
      </c>
      <c r="E29" s="342"/>
      <c r="F29" s="342"/>
      <c r="G29" s="401" t="str">
        <f>IF(A29="","",IF('Table 5-C| MPTE HAP'!P38&gt;0,'Table 5-C| MPTE HAP'!P38,""))</f>
        <v/>
      </c>
      <c r="H29" s="346" t="str">
        <f>IF(A29="","",IF('Table 5-C| MPTE HAP'!Q38="","",'Table 5-C| MPTE HAP'!Q38))</f>
        <v/>
      </c>
      <c r="I29" s="342"/>
      <c r="J29" s="403"/>
      <c r="K29" s="402" t="str">
        <f>IF(A29="","",IF('Table 5-C| MPTE HAP'!S38&gt;0,'Table 5-C| MPTE HAP'!S38,""))</f>
        <v/>
      </c>
      <c r="L29" s="348" t="str">
        <f>IFERROR(IF(OR('Table 5-C| MPTE HAP'!L38="",Q29="",R29="",AND(Q29="YES",T29=0),AND(R29="YES",U29=0)),"",IF(Q29="YES",'Table 5-C| MPTE HAP'!L38*(T29/S29),'Table 5-C| MPTE HAP'!L38))*IF(R29="YES",IF(VLOOKUP(C29,'HAP CAS &amp; Names'!$F$4:$H$186,3,)="YES",(1-U29),1),1),"")</f>
        <v/>
      </c>
      <c r="M29" s="136"/>
      <c r="N29" s="155">
        <f>SUMIF(C29:$C$60,C29,L29:$L$60)</f>
        <v>0</v>
      </c>
      <c r="O29" s="48"/>
      <c r="Q29" s="125" t="str">
        <f>IF(AND(NOT(A29=""),NOT(B29=""),NOT(C29=""),NOT(ISBLANK(E29))),E29,IF(AND(A29="",NOT(B29=""),NOT(C29=""),ISBLANK(E29)),Q28,""))</f>
        <v/>
      </c>
      <c r="R29" s="125" t="str">
        <f>IF(AND(NOT(A29=""),NOT(B29=""),NOT(C29=""),NOT(ISBLANK(F29))),F29,IF(AND(A29="",NOT(B29=""),NOT(C29=""),ISBLANK(F29)),R28,""))</f>
        <v/>
      </c>
      <c r="S29" s="436">
        <f>IF(AND(NOT(A29=""),NOT(B29=""),NOT(C29=""),G29&gt;0),G29,IF(AND(A29="",NOT(B29=""),NOT(C29="")),S28,0))</f>
        <v>0</v>
      </c>
      <c r="T29" s="436">
        <f>IF(AND(NOT(A29=""),NOT(B29=""),NOT(C29=""),I29&gt;0),I29,IF(AND(A29="",NOT(B29=""),NOT(C29="")),T28,0))</f>
        <v>0</v>
      </c>
      <c r="U29" s="147">
        <f>IF(AND(NOT(A29=""),NOT(B29=""),NOT(C29=""),NOT(ISBLANK(J29))),VLOOKUP(J29,'Emission Controls'!$A$3:$L$16,11,),IF(AND(A29="",NOT(B29=""),NOT(C29="")),U28,0))</f>
        <v>0</v>
      </c>
      <c r="W29" s="144" t="s">
        <v>75</v>
      </c>
      <c r="Z29" s="132" t="s">
        <v>1565</v>
      </c>
      <c r="AC29" s="100">
        <v>171</v>
      </c>
      <c r="AD29" s="100">
        <f t="shared" ref="AD29:AD60" si="0">SUMIF($C$29:$C$60,AC29,$L$29:$L$60)</f>
        <v>0</v>
      </c>
    </row>
    <row r="30" spans="1:30" s="144" customFormat="1" ht="18" customHeight="1" x14ac:dyDescent="0.2">
      <c r="A30" s="425" t="str">
        <f>IF(ISBLANK('Table 5-C| MPTE HAP'!A39),"",'Table 5-C| MPTE HAP'!A39)</f>
        <v/>
      </c>
      <c r="B30" s="426" t="str">
        <f>IF(ISBLANK('Table 5-C| MPTE HAP'!B39),"",'Table 5-C| MPTE HAP'!B39)</f>
        <v/>
      </c>
      <c r="C30" s="427" t="str">
        <f>IF(ISBLANK('Table 5-C| MPTE HAP'!C39),"",'Table 5-C| MPTE HAP'!C39)</f>
        <v/>
      </c>
      <c r="D30" s="539" t="str">
        <f>IF(ISBLANK('Table 5-C| MPTE HAP'!D39),"",'Table 5-C| MPTE HAP'!D39)</f>
        <v/>
      </c>
      <c r="E30" s="351"/>
      <c r="F30" s="351"/>
      <c r="G30" s="404" t="str">
        <f>IF(A30="","",IF('Table 5-C| MPTE HAP'!P39&gt;0,'Table 5-C| MPTE HAP'!P39,""))</f>
        <v/>
      </c>
      <c r="H30" s="355" t="str">
        <f>IF(A30="","",IF('Table 5-C| MPTE HAP'!Q39="","",'Table 5-C| MPTE HAP'!Q39))</f>
        <v/>
      </c>
      <c r="I30" s="351"/>
      <c r="J30" s="356"/>
      <c r="K30" s="405" t="str">
        <f>IF(A30="","",IF('Table 5-C| MPTE HAP'!S39&gt;0,'Table 5-C| MPTE HAP'!S39,""))</f>
        <v/>
      </c>
      <c r="L30" s="357" t="str">
        <f>IFERROR(IF(OR('Table 5-C| MPTE HAP'!L39="",Q30="",R30="",AND(Q30="YES",T30=0),AND(R30="YES",U30=0)),"",IF(Q30="YES",'Table 5-C| MPTE HAP'!L39*(T30/S30),'Table 5-C| MPTE HAP'!L39))*IF(R30="YES",IF(VLOOKUP(C30,'HAP CAS &amp; Names'!$F$4:$H$186,3,)="YES",(1-U30),1),1),"")</f>
        <v/>
      </c>
      <c r="M30" s="136"/>
      <c r="N30" s="155">
        <f>SUMIF(C30:$C$60,C30,L30:$L$60)</f>
        <v>0</v>
      </c>
      <c r="O30" s="48"/>
      <c r="Q30" s="125" t="str">
        <f t="shared" ref="Q30:Q60" si="1">IF(AND(NOT(A30=""),NOT(B30=""),NOT(C30=""),NOT(ISBLANK(E30))),E30,IF(AND(A30="",NOT(B30=""),NOT(C30=""),ISBLANK(E30)),Q29,""))</f>
        <v/>
      </c>
      <c r="R30" s="125" t="str">
        <f t="shared" ref="R30:R60" si="2">IF(AND(NOT(A30=""),NOT(B30=""),NOT(C30=""),NOT(ISBLANK(F30))),F30,IF(AND(A30="",NOT(B30=""),NOT(C30=""),ISBLANK(F30)),R29,""))</f>
        <v/>
      </c>
      <c r="S30" s="436">
        <f t="shared" ref="S30:S60" si="3">IF(AND(NOT(A30=""),NOT(B30=""),NOT(C30=""),G30&gt;0),G30,IF(AND(A30="",NOT(B30=""),NOT(C30="")),S29,0))</f>
        <v>0</v>
      </c>
      <c r="T30" s="436">
        <f t="shared" ref="T30:T60" si="4">IF(AND(NOT(A30=""),NOT(B30=""),NOT(C30=""),I30&gt;0),I30,IF(AND(A30="",NOT(B30=""),NOT(C30="")),T29,0))</f>
        <v>0</v>
      </c>
      <c r="U30" s="147">
        <f>IF(AND(NOT(A30=""),NOT(B30=""),NOT(C30=""),NOT(ISBLANK(J30))),VLOOKUP(J30,'Emission Controls'!$A$3:$L$16,11,),IF(AND(A30="",NOT(B30=""),NOT(C30="")),U29,0))</f>
        <v>0</v>
      </c>
      <c r="W30" s="144" t="s">
        <v>73</v>
      </c>
      <c r="Z30" s="132" t="s">
        <v>1573</v>
      </c>
      <c r="AC30" s="100">
        <v>50000</v>
      </c>
      <c r="AD30" s="100">
        <f t="shared" si="0"/>
        <v>0</v>
      </c>
    </row>
    <row r="31" spans="1:30" s="144" customFormat="1" ht="18" customHeight="1" thickBot="1" x14ac:dyDescent="0.25">
      <c r="A31" s="425" t="str">
        <f>IF(ISBLANK('Table 5-C| MPTE HAP'!A40),"",'Table 5-C| MPTE HAP'!A40)</f>
        <v/>
      </c>
      <c r="B31" s="426" t="str">
        <f>IF(ISBLANK('Table 5-C| MPTE HAP'!B40),"",'Table 5-C| MPTE HAP'!B40)</f>
        <v/>
      </c>
      <c r="C31" s="427" t="str">
        <f>IF(ISBLANK('Table 5-C| MPTE HAP'!C40),"",'Table 5-C| MPTE HAP'!C40)</f>
        <v/>
      </c>
      <c r="D31" s="539" t="str">
        <f>IF(ISBLANK('Table 5-C| MPTE HAP'!D40),"",'Table 5-C| MPTE HAP'!D40)</f>
        <v/>
      </c>
      <c r="E31" s="351"/>
      <c r="F31" s="351"/>
      <c r="G31" s="404" t="str">
        <f>IF(A31="","",IF('Table 5-C| MPTE HAP'!P40&gt;0,'Table 5-C| MPTE HAP'!P40,""))</f>
        <v/>
      </c>
      <c r="H31" s="355" t="str">
        <f>IF(A31="","",IF('Table 5-C| MPTE HAP'!Q40="","",'Table 5-C| MPTE HAP'!Q40))</f>
        <v/>
      </c>
      <c r="I31" s="351"/>
      <c r="J31" s="356"/>
      <c r="K31" s="405" t="str">
        <f>IF(A31="","",IF('Table 5-C| MPTE HAP'!S40&gt;0,'Table 5-C| MPTE HAP'!S40,""))</f>
        <v/>
      </c>
      <c r="L31" s="357" t="str">
        <f>IFERROR(IF(OR('Table 5-C| MPTE HAP'!L40="",Q31="",R31="",AND(Q31="YES",T31=0),AND(R31="YES",U31=0)),"",IF(Q31="YES",'Table 5-C| MPTE HAP'!L40*(T31/S31),'Table 5-C| MPTE HAP'!L40))*IF(R31="YES",IF(VLOOKUP(C31,'HAP CAS &amp; Names'!$F$4:$H$186,3,)="YES",(1-U31),1),1),"")</f>
        <v/>
      </c>
      <c r="M31" s="136"/>
      <c r="N31" s="155">
        <f>SUMIF(C31:$C$60,C31,L31:$L$60)</f>
        <v>0</v>
      </c>
      <c r="O31" s="48"/>
      <c r="Q31" s="125" t="str">
        <f t="shared" si="1"/>
        <v/>
      </c>
      <c r="R31" s="125" t="str">
        <f t="shared" si="2"/>
        <v/>
      </c>
      <c r="S31" s="436">
        <f t="shared" si="3"/>
        <v>0</v>
      </c>
      <c r="T31" s="436">
        <f t="shared" si="4"/>
        <v>0</v>
      </c>
      <c r="U31" s="147">
        <f>IF(AND(NOT(A31=""),NOT(B31=""),NOT(C31=""),NOT(ISBLANK(J31))),VLOOKUP(J31,'Emission Controls'!$A$3:$L$16,11,),IF(AND(A31="",NOT(B31=""),NOT(C31="")),U30,0))</f>
        <v>0</v>
      </c>
      <c r="Z31" s="133" t="s">
        <v>1568</v>
      </c>
      <c r="AC31" s="100">
        <v>51285</v>
      </c>
      <c r="AD31" s="100">
        <f t="shared" si="0"/>
        <v>0</v>
      </c>
    </row>
    <row r="32" spans="1:30" s="144" customFormat="1" ht="18" customHeight="1" x14ac:dyDescent="0.2">
      <c r="A32" s="425" t="str">
        <f>IF(ISBLANK('Table 5-C| MPTE HAP'!A41),"",'Table 5-C| MPTE HAP'!A41)</f>
        <v/>
      </c>
      <c r="B32" s="426" t="str">
        <f>IF(ISBLANK('Table 5-C| MPTE HAP'!B41),"",'Table 5-C| MPTE HAP'!B41)</f>
        <v/>
      </c>
      <c r="C32" s="427" t="str">
        <f>IF(ISBLANK('Table 5-C| MPTE HAP'!C41),"",'Table 5-C| MPTE HAP'!C41)</f>
        <v/>
      </c>
      <c r="D32" s="539" t="str">
        <f>IF(ISBLANK('Table 5-C| MPTE HAP'!D41),"",'Table 5-C| MPTE HAP'!D41)</f>
        <v/>
      </c>
      <c r="E32" s="351"/>
      <c r="F32" s="351"/>
      <c r="G32" s="404" t="str">
        <f>IF(A32="","",IF('Table 5-C| MPTE HAP'!P41&gt;0,'Table 5-C| MPTE HAP'!P41,""))</f>
        <v/>
      </c>
      <c r="H32" s="355" t="str">
        <f>IF(A32="","",IF('Table 5-C| MPTE HAP'!Q41="","",'Table 5-C| MPTE HAP'!Q41))</f>
        <v/>
      </c>
      <c r="I32" s="351"/>
      <c r="J32" s="356"/>
      <c r="K32" s="405" t="str">
        <f>IF(A32="","",IF('Table 5-C| MPTE HAP'!S41&gt;0,'Table 5-C| MPTE HAP'!S41,""))</f>
        <v/>
      </c>
      <c r="L32" s="357" t="str">
        <f>IFERROR(IF(OR('Table 5-C| MPTE HAP'!L41="",Q32="",R32="",AND(Q32="YES",T32=0),AND(R32="YES",U32=0)),"",IF(Q32="YES",'Table 5-C| MPTE HAP'!L41*(T32/S32),'Table 5-C| MPTE HAP'!L41))*IF(R32="YES",IF(VLOOKUP(C32,'HAP CAS &amp; Names'!$F$4:$H$186,3,)="YES",(1-U32),1),1),"")</f>
        <v/>
      </c>
      <c r="M32" s="136"/>
      <c r="N32" s="155">
        <f>SUMIF(C32:$C$60,C32,L32:$L$60)</f>
        <v>0</v>
      </c>
      <c r="O32" s="48"/>
      <c r="Q32" s="125" t="str">
        <f t="shared" si="1"/>
        <v/>
      </c>
      <c r="R32" s="125" t="str">
        <f t="shared" si="2"/>
        <v/>
      </c>
      <c r="S32" s="436">
        <f t="shared" si="3"/>
        <v>0</v>
      </c>
      <c r="T32" s="436">
        <f t="shared" si="4"/>
        <v>0</v>
      </c>
      <c r="U32" s="147">
        <f>IF(AND(NOT(A32=""),NOT(B32=""),NOT(C32=""),NOT(ISBLANK(J32))),VLOOKUP(J32,'Emission Controls'!$A$3:$L$16,11,),IF(AND(A32="",NOT(B32=""),NOT(C32="")),U31,0))</f>
        <v>0</v>
      </c>
      <c r="AC32" s="100">
        <v>51796</v>
      </c>
      <c r="AD32" s="100">
        <f t="shared" si="0"/>
        <v>0</v>
      </c>
    </row>
    <row r="33" spans="1:30" s="144" customFormat="1" ht="18" customHeight="1" x14ac:dyDescent="0.2">
      <c r="A33" s="425" t="str">
        <f>IF(ISBLANK('Table 5-C| MPTE HAP'!A42),"",'Table 5-C| MPTE HAP'!A42)</f>
        <v/>
      </c>
      <c r="B33" s="426" t="str">
        <f>IF(ISBLANK('Table 5-C| MPTE HAP'!B42),"",'Table 5-C| MPTE HAP'!B42)</f>
        <v/>
      </c>
      <c r="C33" s="427" t="str">
        <f>IF(ISBLANK('Table 5-C| MPTE HAP'!C42),"",'Table 5-C| MPTE HAP'!C42)</f>
        <v/>
      </c>
      <c r="D33" s="539" t="str">
        <f>IF(ISBLANK('Table 5-C| MPTE HAP'!D42),"",'Table 5-C| MPTE HAP'!D42)</f>
        <v/>
      </c>
      <c r="E33" s="351"/>
      <c r="F33" s="351"/>
      <c r="G33" s="404" t="str">
        <f>IF(A33="","",IF('Table 5-C| MPTE HAP'!P42&gt;0,'Table 5-C| MPTE HAP'!P42,""))</f>
        <v/>
      </c>
      <c r="H33" s="355" t="str">
        <f>IF(A33="","",IF('Table 5-C| MPTE HAP'!Q42="","",'Table 5-C| MPTE HAP'!Q42))</f>
        <v/>
      </c>
      <c r="I33" s="351"/>
      <c r="J33" s="356"/>
      <c r="K33" s="405" t="str">
        <f>IF(A33="","",IF('Table 5-C| MPTE HAP'!S42&gt;0,'Table 5-C| MPTE HAP'!S42,""))</f>
        <v/>
      </c>
      <c r="L33" s="357" t="str">
        <f>IFERROR(IF(OR('Table 5-C| MPTE HAP'!L42="",Q33="",R33="",AND(Q33="YES",T33=0),AND(R33="YES",U33=0)),"",IF(Q33="YES",'Table 5-C| MPTE HAP'!L42*(T33/S33),'Table 5-C| MPTE HAP'!L42))*IF(R33="YES",IF(VLOOKUP(C33,'HAP CAS &amp; Names'!$F$4:$H$186,3,)="YES",(1-U33),1),1),"")</f>
        <v/>
      </c>
      <c r="M33" s="136"/>
      <c r="N33" s="155">
        <f>SUMIF(C33:$C$60,C33,L33:$L$60)</f>
        <v>0</v>
      </c>
      <c r="Q33" s="125" t="str">
        <f t="shared" si="1"/>
        <v/>
      </c>
      <c r="R33" s="125" t="str">
        <f t="shared" si="2"/>
        <v/>
      </c>
      <c r="S33" s="436">
        <f t="shared" si="3"/>
        <v>0</v>
      </c>
      <c r="T33" s="436">
        <f t="shared" si="4"/>
        <v>0</v>
      </c>
      <c r="U33" s="147">
        <f>IF(AND(NOT(A33=""),NOT(B33=""),NOT(C33=""),NOT(ISBLANK(J33))),VLOOKUP(J33,'Emission Controls'!$A$3:$L$16,11,),IF(AND(A33="",NOT(B33=""),NOT(C33="")),U32,0))</f>
        <v>0</v>
      </c>
      <c r="AC33" s="100">
        <v>53963</v>
      </c>
      <c r="AD33" s="100">
        <f t="shared" si="0"/>
        <v>0</v>
      </c>
    </row>
    <row r="34" spans="1:30" s="144" customFormat="1" ht="18" customHeight="1" x14ac:dyDescent="0.2">
      <c r="A34" s="425" t="str">
        <f>IF(ISBLANK('Table 5-C| MPTE HAP'!A43),"",'Table 5-C| MPTE HAP'!A43)</f>
        <v/>
      </c>
      <c r="B34" s="426" t="str">
        <f>IF(ISBLANK('Table 5-C| MPTE HAP'!B43),"",'Table 5-C| MPTE HAP'!B43)</f>
        <v/>
      </c>
      <c r="C34" s="427" t="str">
        <f>IF(ISBLANK('Table 5-C| MPTE HAP'!C43),"",'Table 5-C| MPTE HAP'!C43)</f>
        <v/>
      </c>
      <c r="D34" s="539" t="str">
        <f>IF(ISBLANK('Table 5-C| MPTE HAP'!D43),"",'Table 5-C| MPTE HAP'!D43)</f>
        <v/>
      </c>
      <c r="E34" s="351"/>
      <c r="F34" s="351"/>
      <c r="G34" s="404" t="str">
        <f>IF(A34="","",IF('Table 5-C| MPTE HAP'!P43&gt;0,'Table 5-C| MPTE HAP'!P43,""))</f>
        <v/>
      </c>
      <c r="H34" s="355" t="str">
        <f>IF(A34="","",IF('Table 5-C| MPTE HAP'!Q43="","",'Table 5-C| MPTE HAP'!Q43))</f>
        <v/>
      </c>
      <c r="I34" s="351"/>
      <c r="J34" s="356"/>
      <c r="K34" s="405" t="str">
        <f>IF(A34="","",IF('Table 5-C| MPTE HAP'!S43&gt;0,'Table 5-C| MPTE HAP'!S43,""))</f>
        <v/>
      </c>
      <c r="L34" s="357" t="str">
        <f>IFERROR(IF(OR('Table 5-C| MPTE HAP'!L43="",Q34="",R34="",AND(Q34="YES",T34=0),AND(R34="YES",U34=0)),"",IF(Q34="YES",'Table 5-C| MPTE HAP'!L43*(T34/S34),'Table 5-C| MPTE HAP'!L43))*IF(R34="YES",IF(VLOOKUP(C34,'HAP CAS &amp; Names'!$F$4:$H$186,3,)="YES",(1-U34),1),1),"")</f>
        <v/>
      </c>
      <c r="M34" s="136"/>
      <c r="N34" s="155">
        <f>SUMIF(C34:$C$60,C34,L34:$L$60)</f>
        <v>0</v>
      </c>
      <c r="Q34" s="125" t="str">
        <f t="shared" si="1"/>
        <v/>
      </c>
      <c r="R34" s="125" t="str">
        <f t="shared" si="2"/>
        <v/>
      </c>
      <c r="S34" s="436">
        <f t="shared" si="3"/>
        <v>0</v>
      </c>
      <c r="T34" s="436">
        <f t="shared" si="4"/>
        <v>0</v>
      </c>
      <c r="U34" s="147">
        <f>IF(AND(NOT(A34=""),NOT(B34=""),NOT(C34=""),NOT(ISBLANK(J34))),VLOOKUP(J34,'Emission Controls'!$A$3:$L$16,11,),IF(AND(A34="",NOT(B34=""),NOT(C34="")),U33,0))</f>
        <v>0</v>
      </c>
      <c r="AC34" s="100">
        <v>56235</v>
      </c>
      <c r="AD34" s="100">
        <f t="shared" si="0"/>
        <v>0</v>
      </c>
    </row>
    <row r="35" spans="1:30" s="144" customFormat="1" ht="18" customHeight="1" x14ac:dyDescent="0.2">
      <c r="A35" s="425" t="str">
        <f>IF(ISBLANK('Table 5-C| MPTE HAP'!A44),"",'Table 5-C| MPTE HAP'!A44)</f>
        <v/>
      </c>
      <c r="B35" s="426" t="str">
        <f>IF(ISBLANK('Table 5-C| MPTE HAP'!B44),"",'Table 5-C| MPTE HAP'!B44)</f>
        <v/>
      </c>
      <c r="C35" s="427" t="str">
        <f>IF(ISBLANK('Table 5-C| MPTE HAP'!C44),"",'Table 5-C| MPTE HAP'!C44)</f>
        <v/>
      </c>
      <c r="D35" s="539" t="str">
        <f>IF(ISBLANK('Table 5-C| MPTE HAP'!D44),"",'Table 5-C| MPTE HAP'!D44)</f>
        <v/>
      </c>
      <c r="E35" s="351"/>
      <c r="F35" s="351"/>
      <c r="G35" s="404" t="str">
        <f>IF(A35="","",IF('Table 5-C| MPTE HAP'!P44&gt;0,'Table 5-C| MPTE HAP'!P44,""))</f>
        <v/>
      </c>
      <c r="H35" s="355" t="str">
        <f>IF(A35="","",IF('Table 5-C| MPTE HAP'!Q44="","",'Table 5-C| MPTE HAP'!Q44))</f>
        <v/>
      </c>
      <c r="I35" s="351"/>
      <c r="J35" s="356"/>
      <c r="K35" s="405" t="str">
        <f>IF(A35="","",IF('Table 5-C| MPTE HAP'!S44&gt;0,'Table 5-C| MPTE HAP'!S44,""))</f>
        <v/>
      </c>
      <c r="L35" s="357" t="str">
        <f>IFERROR(IF(OR('Table 5-C| MPTE HAP'!L44="",Q35="",R35="",AND(Q35="YES",T35=0),AND(R35="YES",U35=0)),"",IF(Q35="YES",'Table 5-C| MPTE HAP'!L44*(T35/S35),'Table 5-C| MPTE HAP'!L44))*IF(R35="YES",IF(VLOOKUP(C35,'HAP CAS &amp; Names'!$F$4:$H$186,3,)="YES",(1-U35),1),1),"")</f>
        <v/>
      </c>
      <c r="M35" s="136"/>
      <c r="N35" s="155">
        <f>SUMIF(C35:$C$60,C35,L35:$L$60)</f>
        <v>0</v>
      </c>
      <c r="Q35" s="125" t="str">
        <f t="shared" si="1"/>
        <v/>
      </c>
      <c r="R35" s="125" t="str">
        <f t="shared" si="2"/>
        <v/>
      </c>
      <c r="S35" s="436">
        <f t="shared" si="3"/>
        <v>0</v>
      </c>
      <c r="T35" s="436">
        <f t="shared" si="4"/>
        <v>0</v>
      </c>
      <c r="U35" s="147">
        <f>IF(AND(NOT(A35=""),NOT(B35=""),NOT(C35=""),NOT(ISBLANK(J35))),VLOOKUP(J35,'Emission Controls'!$A$3:$L$16,11,),IF(AND(A35="",NOT(B35=""),NOT(C35="")),U34,0))</f>
        <v>0</v>
      </c>
      <c r="AC35" s="100">
        <v>56382</v>
      </c>
      <c r="AD35" s="100">
        <f t="shared" si="0"/>
        <v>0</v>
      </c>
    </row>
    <row r="36" spans="1:30" s="144" customFormat="1" ht="18" customHeight="1" x14ac:dyDescent="0.2">
      <c r="A36" s="425" t="str">
        <f>IF(ISBLANK('Table 5-C| MPTE HAP'!A45),"",'Table 5-C| MPTE HAP'!A45)</f>
        <v/>
      </c>
      <c r="B36" s="426" t="str">
        <f>IF(ISBLANK('Table 5-C| MPTE HAP'!B45),"",'Table 5-C| MPTE HAP'!B45)</f>
        <v/>
      </c>
      <c r="C36" s="427" t="str">
        <f>IF(ISBLANK('Table 5-C| MPTE HAP'!C45),"",'Table 5-C| MPTE HAP'!C45)</f>
        <v/>
      </c>
      <c r="D36" s="539" t="str">
        <f>IF(ISBLANK('Table 5-C| MPTE HAP'!D45),"",'Table 5-C| MPTE HAP'!D45)</f>
        <v/>
      </c>
      <c r="E36" s="351"/>
      <c r="F36" s="351"/>
      <c r="G36" s="404" t="str">
        <f>IF(A36="","",IF('Table 5-C| MPTE HAP'!P45&gt;0,'Table 5-C| MPTE HAP'!P45,""))</f>
        <v/>
      </c>
      <c r="H36" s="355" t="str">
        <f>IF(A36="","",IF('Table 5-C| MPTE HAP'!Q45="","",'Table 5-C| MPTE HAP'!Q45))</f>
        <v/>
      </c>
      <c r="I36" s="351"/>
      <c r="J36" s="356"/>
      <c r="K36" s="405" t="str">
        <f>IF(A36="","",IF('Table 5-C| MPTE HAP'!S45&gt;0,'Table 5-C| MPTE HAP'!S45,""))</f>
        <v/>
      </c>
      <c r="L36" s="357" t="str">
        <f>IFERROR(IF(OR('Table 5-C| MPTE HAP'!L45="",Q36="",R36="",AND(Q36="YES",T36=0),AND(R36="YES",U36=0)),"",IF(Q36="YES",'Table 5-C| MPTE HAP'!L45*(T36/S36),'Table 5-C| MPTE HAP'!L45))*IF(R36="YES",IF(VLOOKUP(C36,'HAP CAS &amp; Names'!$F$4:$H$186,3,)="YES",(1-U36),1),1),"")</f>
        <v/>
      </c>
      <c r="M36" s="136"/>
      <c r="N36" s="155">
        <f>SUMIF(C36:$C$60,C36,L36:$L$60)</f>
        <v>0</v>
      </c>
      <c r="Q36" s="125" t="str">
        <f t="shared" si="1"/>
        <v/>
      </c>
      <c r="R36" s="125" t="str">
        <f t="shared" si="2"/>
        <v/>
      </c>
      <c r="S36" s="436">
        <f t="shared" si="3"/>
        <v>0</v>
      </c>
      <c r="T36" s="436">
        <f t="shared" si="4"/>
        <v>0</v>
      </c>
      <c r="U36" s="147">
        <f>IF(AND(NOT(A36=""),NOT(B36=""),NOT(C36=""),NOT(ISBLANK(J36))),VLOOKUP(J36,'Emission Controls'!$A$3:$L$16,11,),IF(AND(A36="",NOT(B36=""),NOT(C36="")),U35,0))</f>
        <v>0</v>
      </c>
      <c r="AC36" s="100">
        <v>57125</v>
      </c>
      <c r="AD36" s="100">
        <f t="shared" si="0"/>
        <v>0</v>
      </c>
    </row>
    <row r="37" spans="1:30" s="144" customFormat="1" ht="18" customHeight="1" x14ac:dyDescent="0.2">
      <c r="A37" s="425" t="str">
        <f>IF(ISBLANK('Table 5-C| MPTE HAP'!A46),"",'Table 5-C| MPTE HAP'!A46)</f>
        <v/>
      </c>
      <c r="B37" s="426" t="str">
        <f>IF(ISBLANK('Table 5-C| MPTE HAP'!B46),"",'Table 5-C| MPTE HAP'!B46)</f>
        <v/>
      </c>
      <c r="C37" s="427" t="str">
        <f>IF(ISBLANK('Table 5-C| MPTE HAP'!C46),"",'Table 5-C| MPTE HAP'!C46)</f>
        <v/>
      </c>
      <c r="D37" s="539" t="str">
        <f>IF(ISBLANK('Table 5-C| MPTE HAP'!D46),"",'Table 5-C| MPTE HAP'!D46)</f>
        <v/>
      </c>
      <c r="E37" s="351"/>
      <c r="F37" s="351"/>
      <c r="G37" s="404" t="str">
        <f>IF(A37="","",IF('Table 5-C| MPTE HAP'!P46&gt;0,'Table 5-C| MPTE HAP'!P46,""))</f>
        <v/>
      </c>
      <c r="H37" s="355" t="str">
        <f>IF(A37="","",IF('Table 5-C| MPTE HAP'!Q46="","",'Table 5-C| MPTE HAP'!Q46))</f>
        <v/>
      </c>
      <c r="I37" s="351"/>
      <c r="J37" s="356"/>
      <c r="K37" s="405" t="str">
        <f>IF(A37="","",IF('Table 5-C| MPTE HAP'!S46&gt;0,'Table 5-C| MPTE HAP'!S46,""))</f>
        <v/>
      </c>
      <c r="L37" s="357" t="str">
        <f>IFERROR(IF(OR('Table 5-C| MPTE HAP'!L46="",Q37="",R37="",AND(Q37="YES",T37=0),AND(R37="YES",U37=0)),"",IF(Q37="YES",'Table 5-C| MPTE HAP'!L46*(T37/S37),'Table 5-C| MPTE HAP'!L46))*IF(R37="YES",IF(VLOOKUP(C37,'HAP CAS &amp; Names'!$F$4:$H$186,3,)="YES",(1-U37),1),1),"")</f>
        <v/>
      </c>
      <c r="M37" s="136"/>
      <c r="N37" s="155">
        <f>SUMIF(C37:$C$60,C37,L37:$L$60)</f>
        <v>0</v>
      </c>
      <c r="Q37" s="125" t="str">
        <f t="shared" si="1"/>
        <v/>
      </c>
      <c r="R37" s="125" t="str">
        <f t="shared" si="2"/>
        <v/>
      </c>
      <c r="S37" s="436">
        <f t="shared" si="3"/>
        <v>0</v>
      </c>
      <c r="T37" s="436">
        <f t="shared" si="4"/>
        <v>0</v>
      </c>
      <c r="U37" s="147">
        <f>IF(AND(NOT(A37=""),NOT(B37=""),NOT(C37=""),NOT(ISBLANK(J37))),VLOOKUP(J37,'Emission Controls'!$A$3:$L$16,11,),IF(AND(A37="",NOT(B37=""),NOT(C37="")),U36,0))</f>
        <v>0</v>
      </c>
      <c r="AC37" s="100">
        <v>57147</v>
      </c>
      <c r="AD37" s="100">
        <f t="shared" si="0"/>
        <v>0</v>
      </c>
    </row>
    <row r="38" spans="1:30" s="144" customFormat="1" ht="18" customHeight="1" x14ac:dyDescent="0.2">
      <c r="A38" s="425" t="str">
        <f>IF(ISBLANK('Table 5-C| MPTE HAP'!A47),"",'Table 5-C| MPTE HAP'!A47)</f>
        <v/>
      </c>
      <c r="B38" s="426" t="str">
        <f>IF(ISBLANK('Table 5-C| MPTE HAP'!B47),"",'Table 5-C| MPTE HAP'!B47)</f>
        <v/>
      </c>
      <c r="C38" s="427" t="str">
        <f>IF(ISBLANK('Table 5-C| MPTE HAP'!C47),"",'Table 5-C| MPTE HAP'!C47)</f>
        <v/>
      </c>
      <c r="D38" s="539" t="str">
        <f>IF(ISBLANK('Table 5-C| MPTE HAP'!D47),"",'Table 5-C| MPTE HAP'!D47)</f>
        <v/>
      </c>
      <c r="E38" s="351"/>
      <c r="F38" s="351"/>
      <c r="G38" s="404" t="str">
        <f>IF(A38="","",IF('Table 5-C| MPTE HAP'!P47&gt;0,'Table 5-C| MPTE HAP'!P47,""))</f>
        <v/>
      </c>
      <c r="H38" s="355" t="str">
        <f>IF(A38="","",IF('Table 5-C| MPTE HAP'!Q47="","",'Table 5-C| MPTE HAP'!Q47))</f>
        <v/>
      </c>
      <c r="I38" s="351"/>
      <c r="J38" s="356"/>
      <c r="K38" s="405" t="str">
        <f>IF(A38="","",IF('Table 5-C| MPTE HAP'!S47&gt;0,'Table 5-C| MPTE HAP'!S47,""))</f>
        <v/>
      </c>
      <c r="L38" s="357" t="str">
        <f>IFERROR(IF(OR('Table 5-C| MPTE HAP'!L47="",Q38="",R38="",AND(Q38="YES",T38=0),AND(R38="YES",U38=0)),"",IF(Q38="YES",'Table 5-C| MPTE HAP'!L47*(T38/S38),'Table 5-C| MPTE HAP'!L47))*IF(R38="YES",IF(VLOOKUP(C38,'HAP CAS &amp; Names'!$F$4:$H$186,3,)="YES",(1-U38),1),1),"")</f>
        <v/>
      </c>
      <c r="M38" s="136"/>
      <c r="N38" s="155">
        <f>SUMIF(C38:$C$60,C38,L38:$L$60)</f>
        <v>0</v>
      </c>
      <c r="Q38" s="125" t="str">
        <f t="shared" si="1"/>
        <v/>
      </c>
      <c r="R38" s="125" t="str">
        <f t="shared" si="2"/>
        <v/>
      </c>
      <c r="S38" s="436">
        <f t="shared" si="3"/>
        <v>0</v>
      </c>
      <c r="T38" s="436">
        <f t="shared" si="4"/>
        <v>0</v>
      </c>
      <c r="U38" s="147">
        <f>IF(AND(NOT(A38=""),NOT(B38=""),NOT(C38=""),NOT(ISBLANK(J38))),VLOOKUP(J38,'Emission Controls'!$A$3:$L$16,11,),IF(AND(A38="",NOT(B38=""),NOT(C38="")),U37,0))</f>
        <v>0</v>
      </c>
      <c r="AC38" s="100">
        <v>57578</v>
      </c>
      <c r="AD38" s="100">
        <f t="shared" si="0"/>
        <v>0</v>
      </c>
    </row>
    <row r="39" spans="1:30" s="144" customFormat="1" ht="18" customHeight="1" x14ac:dyDescent="0.2">
      <c r="A39" s="425" t="str">
        <f>IF(ISBLANK('Table 5-C| MPTE HAP'!A48),"",'Table 5-C| MPTE HAP'!A48)</f>
        <v/>
      </c>
      <c r="B39" s="426" t="str">
        <f>IF(ISBLANK('Table 5-C| MPTE HAP'!B48),"",'Table 5-C| MPTE HAP'!B48)</f>
        <v/>
      </c>
      <c r="C39" s="427" t="str">
        <f>IF(ISBLANK('Table 5-C| MPTE HAP'!C48),"",'Table 5-C| MPTE HAP'!C48)</f>
        <v/>
      </c>
      <c r="D39" s="539" t="str">
        <f>IF(ISBLANK('Table 5-C| MPTE HAP'!D48),"",'Table 5-C| MPTE HAP'!D48)</f>
        <v/>
      </c>
      <c r="E39" s="351"/>
      <c r="F39" s="351"/>
      <c r="G39" s="404" t="str">
        <f>IF(A39="","",IF('Table 5-C| MPTE HAP'!P48&gt;0,'Table 5-C| MPTE HAP'!P48,""))</f>
        <v/>
      </c>
      <c r="H39" s="355" t="str">
        <f>IF(A39="","",IF('Table 5-C| MPTE HAP'!Q48="","",'Table 5-C| MPTE HAP'!Q48))</f>
        <v/>
      </c>
      <c r="I39" s="351"/>
      <c r="J39" s="356"/>
      <c r="K39" s="405" t="str">
        <f>IF(A39="","",IF('Table 5-C| MPTE HAP'!S48&gt;0,'Table 5-C| MPTE HAP'!S48,""))</f>
        <v/>
      </c>
      <c r="L39" s="357" t="str">
        <f>IFERROR(IF(OR('Table 5-C| MPTE HAP'!L48="",Q39="",R39="",AND(Q39="YES",T39=0),AND(R39="YES",U39=0)),"",IF(Q39="YES",'Table 5-C| MPTE HAP'!L48*(T39/S39),'Table 5-C| MPTE HAP'!L48))*IF(R39="YES",IF(VLOOKUP(C39,'HAP CAS &amp; Names'!$F$4:$H$186,3,)="YES",(1-U39),1),1),"")</f>
        <v/>
      </c>
      <c r="M39" s="136"/>
      <c r="N39" s="155">
        <f>SUMIF(C39:$C$60,C39,L39:$L$60)</f>
        <v>0</v>
      </c>
      <c r="Q39" s="125" t="str">
        <f t="shared" si="1"/>
        <v/>
      </c>
      <c r="R39" s="125" t="str">
        <f t="shared" si="2"/>
        <v/>
      </c>
      <c r="S39" s="436">
        <f t="shared" si="3"/>
        <v>0</v>
      </c>
      <c r="T39" s="436">
        <f t="shared" si="4"/>
        <v>0</v>
      </c>
      <c r="U39" s="147">
        <f>IF(AND(NOT(A39=""),NOT(B39=""),NOT(C39=""),NOT(ISBLANK(J39))),VLOOKUP(J39,'Emission Controls'!$A$3:$L$16,11,),IF(AND(A39="",NOT(B39=""),NOT(C39="")),U38,0))</f>
        <v>0</v>
      </c>
      <c r="AC39" s="100">
        <v>57749</v>
      </c>
      <c r="AD39" s="100">
        <f t="shared" si="0"/>
        <v>0</v>
      </c>
    </row>
    <row r="40" spans="1:30" s="144" customFormat="1" ht="18" customHeight="1" x14ac:dyDescent="0.2">
      <c r="A40" s="425" t="str">
        <f>IF(ISBLANK('Table 5-C| MPTE HAP'!A49),"",'Table 5-C| MPTE HAP'!A49)</f>
        <v/>
      </c>
      <c r="B40" s="426" t="str">
        <f>IF(ISBLANK('Table 5-C| MPTE HAP'!B49),"",'Table 5-C| MPTE HAP'!B49)</f>
        <v/>
      </c>
      <c r="C40" s="427" t="str">
        <f>IF(ISBLANK('Table 5-C| MPTE HAP'!C49),"",'Table 5-C| MPTE HAP'!C49)</f>
        <v/>
      </c>
      <c r="D40" s="539" t="str">
        <f>IF(ISBLANK('Table 5-C| MPTE HAP'!D49),"",'Table 5-C| MPTE HAP'!D49)</f>
        <v/>
      </c>
      <c r="E40" s="351"/>
      <c r="F40" s="351"/>
      <c r="G40" s="404" t="str">
        <f>IF(A40="","",IF('Table 5-C| MPTE HAP'!P49&gt;0,'Table 5-C| MPTE HAP'!P49,""))</f>
        <v/>
      </c>
      <c r="H40" s="355" t="str">
        <f>IF(A40="","",IF('Table 5-C| MPTE HAP'!Q49="","",'Table 5-C| MPTE HAP'!Q49))</f>
        <v/>
      </c>
      <c r="I40" s="351"/>
      <c r="J40" s="356"/>
      <c r="K40" s="405" t="str">
        <f>IF(A40="","",IF('Table 5-C| MPTE HAP'!S49&gt;0,'Table 5-C| MPTE HAP'!S49,""))</f>
        <v/>
      </c>
      <c r="L40" s="357" t="str">
        <f>IFERROR(IF(OR('Table 5-C| MPTE HAP'!L49="",Q40="",R40="",AND(Q40="YES",T40=0),AND(R40="YES",U40=0)),"",IF(Q40="YES",'Table 5-C| MPTE HAP'!L49*(T40/S40),'Table 5-C| MPTE HAP'!L49))*IF(R40="YES",IF(VLOOKUP(C40,'HAP CAS &amp; Names'!$F$4:$H$186,3,)="YES",(1-U40),1),1),"")</f>
        <v/>
      </c>
      <c r="M40" s="136"/>
      <c r="N40" s="155">
        <f>SUMIF(C40:$C$60,C40,L40:$L$60)</f>
        <v>0</v>
      </c>
      <c r="Q40" s="125" t="str">
        <f t="shared" si="1"/>
        <v/>
      </c>
      <c r="R40" s="125" t="str">
        <f t="shared" si="2"/>
        <v/>
      </c>
      <c r="S40" s="436">
        <f t="shared" si="3"/>
        <v>0</v>
      </c>
      <c r="T40" s="436">
        <f t="shared" si="4"/>
        <v>0</v>
      </c>
      <c r="U40" s="147">
        <f>IF(AND(NOT(A40=""),NOT(B40=""),NOT(C40=""),NOT(ISBLANK(J40))),VLOOKUP(J40,'Emission Controls'!$A$3:$L$16,11,),IF(AND(A40="",NOT(B40=""),NOT(C40="")),U39,0))</f>
        <v>0</v>
      </c>
      <c r="AC40" s="100">
        <v>58899</v>
      </c>
      <c r="AD40" s="100">
        <f t="shared" si="0"/>
        <v>0</v>
      </c>
    </row>
    <row r="41" spans="1:30" s="144" customFormat="1" ht="18" customHeight="1" x14ac:dyDescent="0.2">
      <c r="A41" s="425" t="str">
        <f>IF(ISBLANK('Table 5-C| MPTE HAP'!A50),"",'Table 5-C| MPTE HAP'!A50)</f>
        <v/>
      </c>
      <c r="B41" s="426" t="str">
        <f>IF(ISBLANK('Table 5-C| MPTE HAP'!B50),"",'Table 5-C| MPTE HAP'!B50)</f>
        <v/>
      </c>
      <c r="C41" s="427" t="str">
        <f>IF(ISBLANK('Table 5-C| MPTE HAP'!C50),"",'Table 5-C| MPTE HAP'!C50)</f>
        <v/>
      </c>
      <c r="D41" s="539" t="str">
        <f>IF(ISBLANK('Table 5-C| MPTE HAP'!D50),"",'Table 5-C| MPTE HAP'!D50)</f>
        <v/>
      </c>
      <c r="E41" s="351"/>
      <c r="F41" s="351"/>
      <c r="G41" s="404" t="str">
        <f>IF(A41="","",IF('Table 5-C| MPTE HAP'!P50&gt;0,'Table 5-C| MPTE HAP'!P50,""))</f>
        <v/>
      </c>
      <c r="H41" s="355" t="str">
        <f>IF(A41="","",IF('Table 5-C| MPTE HAP'!Q50="","",'Table 5-C| MPTE HAP'!Q50))</f>
        <v/>
      </c>
      <c r="I41" s="351"/>
      <c r="J41" s="356"/>
      <c r="K41" s="405" t="str">
        <f>IF(A41="","",IF('Table 5-C| MPTE HAP'!S50&gt;0,'Table 5-C| MPTE HAP'!S50,""))</f>
        <v/>
      </c>
      <c r="L41" s="357" t="str">
        <f>IFERROR(IF(OR('Table 5-C| MPTE HAP'!L50="",Q41="",R41="",AND(Q41="YES",T41=0),AND(R41="YES",U41=0)),"",IF(Q41="YES",'Table 5-C| MPTE HAP'!L50*(T41/S41),'Table 5-C| MPTE HAP'!L50))*IF(R41="YES",IF(VLOOKUP(C41,'HAP CAS &amp; Names'!$F$4:$H$186,3,)="YES",(1-U41),1),1),"")</f>
        <v/>
      </c>
      <c r="M41" s="136"/>
      <c r="N41" s="155">
        <f>SUMIF(C41:$C$60,C41,L41:$L$60)</f>
        <v>0</v>
      </c>
      <c r="Q41" s="125" t="str">
        <f t="shared" si="1"/>
        <v/>
      </c>
      <c r="R41" s="125" t="str">
        <f t="shared" si="2"/>
        <v/>
      </c>
      <c r="S41" s="436">
        <f t="shared" si="3"/>
        <v>0</v>
      </c>
      <c r="T41" s="436">
        <f t="shared" si="4"/>
        <v>0</v>
      </c>
      <c r="U41" s="147">
        <f>IF(AND(NOT(A41=""),NOT(B41=""),NOT(C41=""),NOT(ISBLANK(J41))),VLOOKUP(J41,'Emission Controls'!$A$3:$L$16,11,),IF(AND(A41="",NOT(B41=""),NOT(C41="")),U40,0))</f>
        <v>0</v>
      </c>
      <c r="AC41" s="100">
        <v>59892</v>
      </c>
      <c r="AD41" s="100">
        <f t="shared" si="0"/>
        <v>0</v>
      </c>
    </row>
    <row r="42" spans="1:30" s="144" customFormat="1" ht="18" customHeight="1" x14ac:dyDescent="0.2">
      <c r="A42" s="425" t="str">
        <f>IF(ISBLANK('Table 5-C| MPTE HAP'!A51),"",'Table 5-C| MPTE HAP'!A51)</f>
        <v/>
      </c>
      <c r="B42" s="426" t="str">
        <f>IF(ISBLANK('Table 5-C| MPTE HAP'!B51),"",'Table 5-C| MPTE HAP'!B51)</f>
        <v/>
      </c>
      <c r="C42" s="427" t="str">
        <f>IF(ISBLANK('Table 5-C| MPTE HAP'!C51),"",'Table 5-C| MPTE HAP'!C51)</f>
        <v/>
      </c>
      <c r="D42" s="539" t="str">
        <f>IF(ISBLANK('Table 5-C| MPTE HAP'!D51),"",'Table 5-C| MPTE HAP'!D51)</f>
        <v/>
      </c>
      <c r="E42" s="351"/>
      <c r="F42" s="351"/>
      <c r="G42" s="404" t="str">
        <f>IF(A42="","",IF('Table 5-C| MPTE HAP'!P51&gt;0,'Table 5-C| MPTE HAP'!P51,""))</f>
        <v/>
      </c>
      <c r="H42" s="355" t="str">
        <f>IF(A42="","",IF('Table 5-C| MPTE HAP'!Q51="","",'Table 5-C| MPTE HAP'!Q51))</f>
        <v/>
      </c>
      <c r="I42" s="351"/>
      <c r="J42" s="356"/>
      <c r="K42" s="405" t="str">
        <f>IF(A42="","",IF('Table 5-C| MPTE HAP'!S51&gt;0,'Table 5-C| MPTE HAP'!S51,""))</f>
        <v/>
      </c>
      <c r="L42" s="357" t="str">
        <f>IFERROR(IF(OR('Table 5-C| MPTE HAP'!L51="",Q42="",R42="",AND(Q42="YES",T42=0),AND(R42="YES",U42=0)),"",IF(Q42="YES",'Table 5-C| MPTE HAP'!L51*(T42/S42),'Table 5-C| MPTE HAP'!L51))*IF(R42="YES",IF(VLOOKUP(C42,'HAP CAS &amp; Names'!$F$4:$H$186,3,)="YES",(1-U42),1),1),"")</f>
        <v/>
      </c>
      <c r="M42" s="136"/>
      <c r="N42" s="155">
        <f>SUMIF(C42:$C$60,C42,L42:$L$60)</f>
        <v>0</v>
      </c>
      <c r="Q42" s="125" t="str">
        <f t="shared" si="1"/>
        <v/>
      </c>
      <c r="R42" s="125" t="str">
        <f t="shared" si="2"/>
        <v/>
      </c>
      <c r="S42" s="436">
        <f t="shared" si="3"/>
        <v>0</v>
      </c>
      <c r="T42" s="436">
        <f t="shared" si="4"/>
        <v>0</v>
      </c>
      <c r="U42" s="147">
        <f>IF(AND(NOT(A42=""),NOT(B42=""),NOT(C42=""),NOT(ISBLANK(J42))),VLOOKUP(J42,'Emission Controls'!$A$3:$L$16,11,),IF(AND(A42="",NOT(B42=""),NOT(C42="")),U41,0))</f>
        <v>0</v>
      </c>
      <c r="AC42" s="100">
        <v>60117</v>
      </c>
      <c r="AD42" s="100">
        <f t="shared" si="0"/>
        <v>0</v>
      </c>
    </row>
    <row r="43" spans="1:30" s="144" customFormat="1" ht="18" customHeight="1" x14ac:dyDescent="0.2">
      <c r="A43" s="425" t="str">
        <f>IF(ISBLANK('Table 5-C| MPTE HAP'!A52),"",'Table 5-C| MPTE HAP'!A52)</f>
        <v/>
      </c>
      <c r="B43" s="426" t="str">
        <f>IF(ISBLANK('Table 5-C| MPTE HAP'!B52),"",'Table 5-C| MPTE HAP'!B52)</f>
        <v/>
      </c>
      <c r="C43" s="427" t="str">
        <f>IF(ISBLANK('Table 5-C| MPTE HAP'!C52),"",'Table 5-C| MPTE HAP'!C52)</f>
        <v/>
      </c>
      <c r="D43" s="539" t="str">
        <f>IF(ISBLANK('Table 5-C| MPTE HAP'!D52),"",'Table 5-C| MPTE HAP'!D52)</f>
        <v/>
      </c>
      <c r="E43" s="351"/>
      <c r="F43" s="351"/>
      <c r="G43" s="404" t="str">
        <f>IF(A43="","",IF('Table 5-C| MPTE HAP'!P52&gt;0,'Table 5-C| MPTE HAP'!P52,""))</f>
        <v/>
      </c>
      <c r="H43" s="355" t="str">
        <f>IF(A43="","",IF('Table 5-C| MPTE HAP'!Q52="","",'Table 5-C| MPTE HAP'!Q52))</f>
        <v/>
      </c>
      <c r="I43" s="351"/>
      <c r="J43" s="356"/>
      <c r="K43" s="405" t="str">
        <f>IF(A43="","",IF('Table 5-C| MPTE HAP'!S52&gt;0,'Table 5-C| MPTE HAP'!S52,""))</f>
        <v/>
      </c>
      <c r="L43" s="357" t="str">
        <f>IFERROR(IF(OR('Table 5-C| MPTE HAP'!L52="",Q43="",R43="",AND(Q43="YES",T43=0),AND(R43="YES",U43=0)),"",IF(Q43="YES",'Table 5-C| MPTE HAP'!L52*(T43/S43),'Table 5-C| MPTE HAP'!L52))*IF(R43="YES",IF(VLOOKUP(C43,'HAP CAS &amp; Names'!$F$4:$H$186,3,)="YES",(1-U43),1),1),"")</f>
        <v/>
      </c>
      <c r="M43" s="136"/>
      <c r="N43" s="155">
        <f>SUMIF(C43:$C$60,C43,L43:$L$60)</f>
        <v>0</v>
      </c>
      <c r="Q43" s="125" t="str">
        <f t="shared" si="1"/>
        <v/>
      </c>
      <c r="R43" s="125" t="str">
        <f t="shared" si="2"/>
        <v/>
      </c>
      <c r="S43" s="436">
        <f t="shared" si="3"/>
        <v>0</v>
      </c>
      <c r="T43" s="436">
        <f t="shared" si="4"/>
        <v>0</v>
      </c>
      <c r="U43" s="147">
        <f>IF(AND(NOT(A43=""),NOT(B43=""),NOT(C43=""),NOT(ISBLANK(J43))),VLOOKUP(J43,'Emission Controls'!$A$3:$L$16,11,),IF(AND(A43="",NOT(B43=""),NOT(C43="")),U42,0))</f>
        <v>0</v>
      </c>
      <c r="AC43" s="100">
        <v>60344</v>
      </c>
      <c r="AD43" s="100">
        <f t="shared" si="0"/>
        <v>0</v>
      </c>
    </row>
    <row r="44" spans="1:30" s="144" customFormat="1" ht="18" customHeight="1" x14ac:dyDescent="0.2">
      <c r="A44" s="425" t="str">
        <f>IF(ISBLANK('Table 5-C| MPTE HAP'!A53),"",'Table 5-C| MPTE HAP'!A53)</f>
        <v/>
      </c>
      <c r="B44" s="426" t="str">
        <f>IF(ISBLANK('Table 5-C| MPTE HAP'!B53),"",'Table 5-C| MPTE HAP'!B53)</f>
        <v/>
      </c>
      <c r="C44" s="427" t="str">
        <f>IF(ISBLANK('Table 5-C| MPTE HAP'!C53),"",'Table 5-C| MPTE HAP'!C53)</f>
        <v/>
      </c>
      <c r="D44" s="539" t="str">
        <f>IF(ISBLANK('Table 5-C| MPTE HAP'!D53),"",'Table 5-C| MPTE HAP'!D53)</f>
        <v/>
      </c>
      <c r="E44" s="351"/>
      <c r="F44" s="351"/>
      <c r="G44" s="404" t="str">
        <f>IF(A44="","",IF('Table 5-C| MPTE HAP'!P53&gt;0,'Table 5-C| MPTE HAP'!P53,""))</f>
        <v/>
      </c>
      <c r="H44" s="355" t="str">
        <f>IF(A44="","",IF('Table 5-C| MPTE HAP'!Q53="","",'Table 5-C| MPTE HAP'!Q53))</f>
        <v/>
      </c>
      <c r="I44" s="351"/>
      <c r="J44" s="356"/>
      <c r="K44" s="405" t="str">
        <f>IF(A44="","",IF('Table 5-C| MPTE HAP'!S53&gt;0,'Table 5-C| MPTE HAP'!S53,""))</f>
        <v/>
      </c>
      <c r="L44" s="357" t="str">
        <f>IFERROR(IF(OR('Table 5-C| MPTE HAP'!L53="",Q44="",R44="",AND(Q44="YES",T44=0),AND(R44="YES",U44=0)),"",IF(Q44="YES",'Table 5-C| MPTE HAP'!L53*(T44/S44),'Table 5-C| MPTE HAP'!L53))*IF(R44="YES",IF(VLOOKUP(C44,'HAP CAS &amp; Names'!$F$4:$H$186,3,)="YES",(1-U44),1),1),"")</f>
        <v/>
      </c>
      <c r="M44" s="136"/>
      <c r="N44" s="155">
        <f>SUMIF(C44:$C$60,C44,L44:$L$60)</f>
        <v>0</v>
      </c>
      <c r="Q44" s="125" t="str">
        <f t="shared" si="1"/>
        <v/>
      </c>
      <c r="R44" s="125" t="str">
        <f t="shared" si="2"/>
        <v/>
      </c>
      <c r="S44" s="436">
        <f t="shared" si="3"/>
        <v>0</v>
      </c>
      <c r="T44" s="436">
        <f t="shared" si="4"/>
        <v>0</v>
      </c>
      <c r="U44" s="147">
        <f>IF(AND(NOT(A44=""),NOT(B44=""),NOT(C44=""),NOT(ISBLANK(J44))),VLOOKUP(J44,'Emission Controls'!$A$3:$L$16,11,),IF(AND(A44="",NOT(B44=""),NOT(C44="")),U43,0))</f>
        <v>0</v>
      </c>
      <c r="AC44" s="100">
        <v>60355</v>
      </c>
      <c r="AD44" s="100">
        <f t="shared" si="0"/>
        <v>0</v>
      </c>
    </row>
    <row r="45" spans="1:30" s="144" customFormat="1" ht="18" customHeight="1" x14ac:dyDescent="0.2">
      <c r="A45" s="425" t="str">
        <f>IF(ISBLANK('Table 5-C| MPTE HAP'!A54),"",'Table 5-C| MPTE HAP'!A54)</f>
        <v/>
      </c>
      <c r="B45" s="426" t="str">
        <f>IF(ISBLANK('Table 5-C| MPTE HAP'!B54),"",'Table 5-C| MPTE HAP'!B54)</f>
        <v/>
      </c>
      <c r="C45" s="427" t="str">
        <f>IF(ISBLANK('Table 5-C| MPTE HAP'!C54),"",'Table 5-C| MPTE HAP'!C54)</f>
        <v/>
      </c>
      <c r="D45" s="539" t="str">
        <f>IF(ISBLANK('Table 5-C| MPTE HAP'!D54),"",'Table 5-C| MPTE HAP'!D54)</f>
        <v/>
      </c>
      <c r="E45" s="351"/>
      <c r="F45" s="351"/>
      <c r="G45" s="404" t="str">
        <f>IF(A45="","",IF('Table 5-C| MPTE HAP'!P54&gt;0,'Table 5-C| MPTE HAP'!P54,""))</f>
        <v/>
      </c>
      <c r="H45" s="355" t="str">
        <f>IF(A45="","",IF('Table 5-C| MPTE HAP'!Q54="","",'Table 5-C| MPTE HAP'!Q54))</f>
        <v/>
      </c>
      <c r="I45" s="351"/>
      <c r="J45" s="356"/>
      <c r="K45" s="405" t="str">
        <f>IF(A45="","",IF('Table 5-C| MPTE HAP'!S54&gt;0,'Table 5-C| MPTE HAP'!S54,""))</f>
        <v/>
      </c>
      <c r="L45" s="357" t="str">
        <f>IFERROR(IF(OR('Table 5-C| MPTE HAP'!L54="",Q45="",R45="",AND(Q45="YES",T45=0),AND(R45="YES",U45=0)),"",IF(Q45="YES",'Table 5-C| MPTE HAP'!L54*(T45/S45),'Table 5-C| MPTE HAP'!L54))*IF(R45="YES",IF(VLOOKUP(C45,'HAP CAS &amp; Names'!$F$4:$H$186,3,)="YES",(1-U45),1),1),"")</f>
        <v/>
      </c>
      <c r="M45" s="136"/>
      <c r="N45" s="155">
        <f>SUMIF(C45:$C$60,C45,L45:$L$60)</f>
        <v>0</v>
      </c>
      <c r="Q45" s="125" t="str">
        <f t="shared" si="1"/>
        <v/>
      </c>
      <c r="R45" s="125" t="str">
        <f t="shared" si="2"/>
        <v/>
      </c>
      <c r="S45" s="436">
        <f t="shared" si="3"/>
        <v>0</v>
      </c>
      <c r="T45" s="436">
        <f t="shared" si="4"/>
        <v>0</v>
      </c>
      <c r="U45" s="147">
        <f>IF(AND(NOT(A45=""),NOT(B45=""),NOT(C45=""),NOT(ISBLANK(J45))),VLOOKUP(J45,'Emission Controls'!$A$3:$L$16,11,),IF(AND(A45="",NOT(B45=""),NOT(C45="")),U44,0))</f>
        <v>0</v>
      </c>
      <c r="AC45" s="100">
        <v>62533</v>
      </c>
      <c r="AD45" s="100">
        <f t="shared" si="0"/>
        <v>0</v>
      </c>
    </row>
    <row r="46" spans="1:30" s="144" customFormat="1" ht="18" customHeight="1" x14ac:dyDescent="0.2">
      <c r="A46" s="425" t="str">
        <f>IF(ISBLANK('Table 5-C| MPTE HAP'!A55),"",'Table 5-C| MPTE HAP'!A55)</f>
        <v/>
      </c>
      <c r="B46" s="426" t="str">
        <f>IF(ISBLANK('Table 5-C| MPTE HAP'!B55),"",'Table 5-C| MPTE HAP'!B55)</f>
        <v/>
      </c>
      <c r="C46" s="427" t="str">
        <f>IF(ISBLANK('Table 5-C| MPTE HAP'!C55),"",'Table 5-C| MPTE HAP'!C55)</f>
        <v/>
      </c>
      <c r="D46" s="539" t="str">
        <f>IF(ISBLANK('Table 5-C| MPTE HAP'!D55),"",'Table 5-C| MPTE HAP'!D55)</f>
        <v/>
      </c>
      <c r="E46" s="351"/>
      <c r="F46" s="351"/>
      <c r="G46" s="404" t="str">
        <f>IF(A46="","",IF('Table 5-C| MPTE HAP'!P55&gt;0,'Table 5-C| MPTE HAP'!P55,""))</f>
        <v/>
      </c>
      <c r="H46" s="355" t="str">
        <f>IF(A46="","",IF('Table 5-C| MPTE HAP'!Q55="","",'Table 5-C| MPTE HAP'!Q55))</f>
        <v/>
      </c>
      <c r="I46" s="351"/>
      <c r="J46" s="356"/>
      <c r="K46" s="405" t="str">
        <f>IF(A46="","",IF('Table 5-C| MPTE HAP'!S55&gt;0,'Table 5-C| MPTE HAP'!S55,""))</f>
        <v/>
      </c>
      <c r="L46" s="357" t="str">
        <f>IFERROR(IF(OR('Table 5-C| MPTE HAP'!L55="",Q46="",R46="",AND(Q46="YES",T46=0),AND(R46="YES",U46=0)),"",IF(Q46="YES",'Table 5-C| MPTE HAP'!L55*(T46/S46),'Table 5-C| MPTE HAP'!L55))*IF(R46="YES",IF(VLOOKUP(C46,'HAP CAS &amp; Names'!$F$4:$H$186,3,)="YES",(1-U46),1),1),"")</f>
        <v/>
      </c>
      <c r="M46" s="136"/>
      <c r="N46" s="155">
        <f>SUMIF(C46:$C$60,C46,L46:$L$60)</f>
        <v>0</v>
      </c>
      <c r="Q46" s="125" t="str">
        <f t="shared" si="1"/>
        <v/>
      </c>
      <c r="R46" s="125" t="str">
        <f t="shared" si="2"/>
        <v/>
      </c>
      <c r="S46" s="436">
        <f t="shared" si="3"/>
        <v>0</v>
      </c>
      <c r="T46" s="436">
        <f t="shared" si="4"/>
        <v>0</v>
      </c>
      <c r="U46" s="147">
        <f>IF(AND(NOT(A46=""),NOT(B46=""),NOT(C46=""),NOT(ISBLANK(J46))),VLOOKUP(J46,'Emission Controls'!$A$3:$L$16,11,),IF(AND(A46="",NOT(B46=""),NOT(C46="")),U45,0))</f>
        <v>0</v>
      </c>
      <c r="AC46" s="100">
        <v>62737</v>
      </c>
      <c r="AD46" s="100">
        <f t="shared" si="0"/>
        <v>0</v>
      </c>
    </row>
    <row r="47" spans="1:30" s="144" customFormat="1" ht="18" customHeight="1" x14ac:dyDescent="0.2">
      <c r="A47" s="425" t="str">
        <f>IF(ISBLANK('Table 5-C| MPTE HAP'!A56),"",'Table 5-C| MPTE HAP'!A56)</f>
        <v/>
      </c>
      <c r="B47" s="426" t="str">
        <f>IF(ISBLANK('Table 5-C| MPTE HAP'!B56),"",'Table 5-C| MPTE HAP'!B56)</f>
        <v/>
      </c>
      <c r="C47" s="427" t="str">
        <f>IF(ISBLANK('Table 5-C| MPTE HAP'!C56),"",'Table 5-C| MPTE HAP'!C56)</f>
        <v/>
      </c>
      <c r="D47" s="539" t="str">
        <f>IF(ISBLANK('Table 5-C| MPTE HAP'!D56),"",'Table 5-C| MPTE HAP'!D56)</f>
        <v/>
      </c>
      <c r="E47" s="351"/>
      <c r="F47" s="351"/>
      <c r="G47" s="404" t="str">
        <f>IF(A47="","",IF('Table 5-C| MPTE HAP'!P56&gt;0,'Table 5-C| MPTE HAP'!P56,""))</f>
        <v/>
      </c>
      <c r="H47" s="355" t="str">
        <f>IF(A47="","",IF('Table 5-C| MPTE HAP'!Q56="","",'Table 5-C| MPTE HAP'!Q56))</f>
        <v/>
      </c>
      <c r="I47" s="351"/>
      <c r="J47" s="356"/>
      <c r="K47" s="405" t="str">
        <f>IF(A47="","",IF('Table 5-C| MPTE HAP'!S56&gt;0,'Table 5-C| MPTE HAP'!S56,""))</f>
        <v/>
      </c>
      <c r="L47" s="357" t="str">
        <f>IFERROR(IF(OR('Table 5-C| MPTE HAP'!L56="",Q47="",R47="",AND(Q47="YES",T47=0),AND(R47="YES",U47=0)),"",IF(Q47="YES",'Table 5-C| MPTE HAP'!L56*(T47/S47),'Table 5-C| MPTE HAP'!L56))*IF(R47="YES",IF(VLOOKUP(C47,'HAP CAS &amp; Names'!$F$4:$H$186,3,)="YES",(1-U47),1),1),"")</f>
        <v/>
      </c>
      <c r="M47" s="136"/>
      <c r="N47" s="155">
        <f>SUMIF(C47:$C$60,C47,L47:$L$60)</f>
        <v>0</v>
      </c>
      <c r="Q47" s="125" t="str">
        <f t="shared" si="1"/>
        <v/>
      </c>
      <c r="R47" s="125" t="str">
        <f t="shared" si="2"/>
        <v/>
      </c>
      <c r="S47" s="436">
        <f t="shared" si="3"/>
        <v>0</v>
      </c>
      <c r="T47" s="436">
        <f t="shared" si="4"/>
        <v>0</v>
      </c>
      <c r="U47" s="147">
        <f>IF(AND(NOT(A47=""),NOT(B47=""),NOT(C47=""),NOT(ISBLANK(J47))),VLOOKUP(J47,'Emission Controls'!$A$3:$L$16,11,),IF(AND(A47="",NOT(B47=""),NOT(C47="")),U46,0))</f>
        <v>0</v>
      </c>
      <c r="AC47" s="100">
        <v>62759</v>
      </c>
      <c r="AD47" s="100">
        <f t="shared" si="0"/>
        <v>0</v>
      </c>
    </row>
    <row r="48" spans="1:30" s="144" customFormat="1" ht="18" customHeight="1" x14ac:dyDescent="0.2">
      <c r="A48" s="425" t="str">
        <f>IF(ISBLANK('Table 5-C| MPTE HAP'!A57),"",'Table 5-C| MPTE HAP'!A57)</f>
        <v/>
      </c>
      <c r="B48" s="426" t="str">
        <f>IF(ISBLANK('Table 5-C| MPTE HAP'!B57),"",'Table 5-C| MPTE HAP'!B57)</f>
        <v/>
      </c>
      <c r="C48" s="427" t="str">
        <f>IF(ISBLANK('Table 5-C| MPTE HAP'!C57),"",'Table 5-C| MPTE HAP'!C57)</f>
        <v/>
      </c>
      <c r="D48" s="539" t="str">
        <f>IF(ISBLANK('Table 5-C| MPTE HAP'!D57),"",'Table 5-C| MPTE HAP'!D57)</f>
        <v/>
      </c>
      <c r="E48" s="351"/>
      <c r="F48" s="351"/>
      <c r="G48" s="404" t="str">
        <f>IF(A48="","",IF('Table 5-C| MPTE HAP'!P57&gt;0,'Table 5-C| MPTE HAP'!P57,""))</f>
        <v/>
      </c>
      <c r="H48" s="355" t="str">
        <f>IF(A48="","",IF('Table 5-C| MPTE HAP'!Q57="","",'Table 5-C| MPTE HAP'!Q57))</f>
        <v/>
      </c>
      <c r="I48" s="351"/>
      <c r="J48" s="356"/>
      <c r="K48" s="405" t="str">
        <f>IF(A48="","",IF('Table 5-C| MPTE HAP'!S57&gt;0,'Table 5-C| MPTE HAP'!S57,""))</f>
        <v/>
      </c>
      <c r="L48" s="357" t="str">
        <f>IFERROR(IF(OR('Table 5-C| MPTE HAP'!L57="",Q48="",R48="",AND(Q48="YES",T48=0),AND(R48="YES",U48=0)),"",IF(Q48="YES",'Table 5-C| MPTE HAP'!L57*(T48/S48),'Table 5-C| MPTE HAP'!L57))*IF(R48="YES",IF(VLOOKUP(C48,'HAP CAS &amp; Names'!$F$4:$H$186,3,)="YES",(1-U48),1),1),"")</f>
        <v/>
      </c>
      <c r="M48" s="136"/>
      <c r="N48" s="155">
        <f>SUMIF(C48:$C$60,C48,L48:$L$60)</f>
        <v>0</v>
      </c>
      <c r="Q48" s="125" t="str">
        <f t="shared" si="1"/>
        <v/>
      </c>
      <c r="R48" s="125" t="str">
        <f t="shared" si="2"/>
        <v/>
      </c>
      <c r="S48" s="436">
        <f t="shared" si="3"/>
        <v>0</v>
      </c>
      <c r="T48" s="436">
        <f t="shared" si="4"/>
        <v>0</v>
      </c>
      <c r="U48" s="147">
        <f>IF(AND(NOT(A48=""),NOT(B48=""),NOT(C48=""),NOT(ISBLANK(J48))),VLOOKUP(J48,'Emission Controls'!$A$3:$L$16,11,),IF(AND(A48="",NOT(B48=""),NOT(C48="")),U47,0))</f>
        <v>0</v>
      </c>
      <c r="AC48" s="100">
        <v>63252</v>
      </c>
      <c r="AD48" s="100">
        <f t="shared" si="0"/>
        <v>0</v>
      </c>
    </row>
    <row r="49" spans="1:30" s="144" customFormat="1" ht="18" customHeight="1" x14ac:dyDescent="0.2">
      <c r="A49" s="425" t="str">
        <f>IF(ISBLANK('Table 5-C| MPTE HAP'!A58),"",'Table 5-C| MPTE HAP'!A58)</f>
        <v/>
      </c>
      <c r="B49" s="426" t="str">
        <f>IF(ISBLANK('Table 5-C| MPTE HAP'!B58),"",'Table 5-C| MPTE HAP'!B58)</f>
        <v/>
      </c>
      <c r="C49" s="427" t="str">
        <f>IF(ISBLANK('Table 5-C| MPTE HAP'!C58),"",'Table 5-C| MPTE HAP'!C58)</f>
        <v/>
      </c>
      <c r="D49" s="539" t="str">
        <f>IF(ISBLANK('Table 5-C| MPTE HAP'!D58),"",'Table 5-C| MPTE HAP'!D58)</f>
        <v/>
      </c>
      <c r="E49" s="351"/>
      <c r="F49" s="351"/>
      <c r="G49" s="404" t="str">
        <f>IF(A49="","",IF('Table 5-C| MPTE HAP'!P58&gt;0,'Table 5-C| MPTE HAP'!P58,""))</f>
        <v/>
      </c>
      <c r="H49" s="355" t="str">
        <f>IF(A49="","",IF('Table 5-C| MPTE HAP'!Q58="","",'Table 5-C| MPTE HAP'!Q58))</f>
        <v/>
      </c>
      <c r="I49" s="351"/>
      <c r="J49" s="356"/>
      <c r="K49" s="405" t="str">
        <f>IF(A49="","",IF('Table 5-C| MPTE HAP'!S58&gt;0,'Table 5-C| MPTE HAP'!S58,""))</f>
        <v/>
      </c>
      <c r="L49" s="357" t="str">
        <f>IFERROR(IF(OR('Table 5-C| MPTE HAP'!L58="",Q49="",R49="",AND(Q49="YES",T49=0),AND(R49="YES",U49=0)),"",IF(Q49="YES",'Table 5-C| MPTE HAP'!L58*(T49/S49),'Table 5-C| MPTE HAP'!L58))*IF(R49="YES",IF(VLOOKUP(C49,'HAP CAS &amp; Names'!$F$4:$H$186,3,)="YES",(1-U49),1),1),"")</f>
        <v/>
      </c>
      <c r="M49" s="136"/>
      <c r="N49" s="155">
        <f>SUMIF(C49:$C$60,C49,L49:$L$60)</f>
        <v>0</v>
      </c>
      <c r="Q49" s="125" t="str">
        <f t="shared" si="1"/>
        <v/>
      </c>
      <c r="R49" s="125" t="str">
        <f t="shared" si="2"/>
        <v/>
      </c>
      <c r="S49" s="436">
        <f t="shared" si="3"/>
        <v>0</v>
      </c>
      <c r="T49" s="436">
        <f t="shared" si="4"/>
        <v>0</v>
      </c>
      <c r="U49" s="147">
        <f>IF(AND(NOT(A49=""),NOT(B49=""),NOT(C49=""),NOT(ISBLANK(J49))),VLOOKUP(J49,'Emission Controls'!$A$3:$L$16,11,),IF(AND(A49="",NOT(B49=""),NOT(C49="")),U48,0))</f>
        <v>0</v>
      </c>
      <c r="AC49" s="100">
        <v>64675</v>
      </c>
      <c r="AD49" s="100">
        <f t="shared" si="0"/>
        <v>0</v>
      </c>
    </row>
    <row r="50" spans="1:30" s="144" customFormat="1" ht="18" customHeight="1" x14ac:dyDescent="0.2">
      <c r="A50" s="425" t="str">
        <f>IF(ISBLANK('Table 5-C| MPTE HAP'!A59),"",'Table 5-C| MPTE HAP'!A59)</f>
        <v/>
      </c>
      <c r="B50" s="426" t="str">
        <f>IF(ISBLANK('Table 5-C| MPTE HAP'!B59),"",'Table 5-C| MPTE HAP'!B59)</f>
        <v/>
      </c>
      <c r="C50" s="427" t="str">
        <f>IF(ISBLANK('Table 5-C| MPTE HAP'!C59),"",'Table 5-C| MPTE HAP'!C59)</f>
        <v/>
      </c>
      <c r="D50" s="539" t="str">
        <f>IF(ISBLANK('Table 5-C| MPTE HAP'!D59),"",'Table 5-C| MPTE HAP'!D59)</f>
        <v/>
      </c>
      <c r="E50" s="351"/>
      <c r="F50" s="351"/>
      <c r="G50" s="404" t="str">
        <f>IF(A50="","",IF('Table 5-C| MPTE HAP'!P59&gt;0,'Table 5-C| MPTE HAP'!P59,""))</f>
        <v/>
      </c>
      <c r="H50" s="355" t="str">
        <f>IF(A50="","",IF('Table 5-C| MPTE HAP'!Q59="","",'Table 5-C| MPTE HAP'!Q59))</f>
        <v/>
      </c>
      <c r="I50" s="351"/>
      <c r="J50" s="356"/>
      <c r="K50" s="405" t="str">
        <f>IF(A50="","",IF('Table 5-C| MPTE HAP'!S59&gt;0,'Table 5-C| MPTE HAP'!S59,""))</f>
        <v/>
      </c>
      <c r="L50" s="357" t="str">
        <f>IFERROR(IF(OR('Table 5-C| MPTE HAP'!L59="",Q50="",R50="",AND(Q50="YES",T50=0),AND(R50="YES",U50=0)),"",IF(Q50="YES",'Table 5-C| MPTE HAP'!L59*(T50/S50),'Table 5-C| MPTE HAP'!L59))*IF(R50="YES",IF(VLOOKUP(C50,'HAP CAS &amp; Names'!$F$4:$H$186,3,)="YES",(1-U50),1),1),"")</f>
        <v/>
      </c>
      <c r="M50" s="136"/>
      <c r="N50" s="155">
        <f>SUMIF(C50:$C$60,C50,L50:$L$60)</f>
        <v>0</v>
      </c>
      <c r="Q50" s="125" t="str">
        <f t="shared" si="1"/>
        <v/>
      </c>
      <c r="R50" s="125" t="str">
        <f t="shared" si="2"/>
        <v/>
      </c>
      <c r="S50" s="436">
        <f t="shared" si="3"/>
        <v>0</v>
      </c>
      <c r="T50" s="436">
        <f t="shared" si="4"/>
        <v>0</v>
      </c>
      <c r="U50" s="147">
        <f>IF(AND(NOT(A50=""),NOT(B50=""),NOT(C50=""),NOT(ISBLANK(J50))),VLOOKUP(J50,'Emission Controls'!$A$3:$L$16,11,),IF(AND(A50="",NOT(B50=""),NOT(C50="")),U49,0))</f>
        <v>0</v>
      </c>
      <c r="AC50" s="100">
        <v>67561</v>
      </c>
      <c r="AD50" s="100">
        <f t="shared" si="0"/>
        <v>0</v>
      </c>
    </row>
    <row r="51" spans="1:30" s="144" customFormat="1" ht="18" customHeight="1" x14ac:dyDescent="0.2">
      <c r="A51" s="425" t="str">
        <f>IF(ISBLANK('Table 5-C| MPTE HAP'!A60),"",'Table 5-C| MPTE HAP'!A60)</f>
        <v/>
      </c>
      <c r="B51" s="426" t="str">
        <f>IF(ISBLANK('Table 5-C| MPTE HAP'!B60),"",'Table 5-C| MPTE HAP'!B60)</f>
        <v/>
      </c>
      <c r="C51" s="427" t="str">
        <f>IF(ISBLANK('Table 5-C| MPTE HAP'!C60),"",'Table 5-C| MPTE HAP'!C60)</f>
        <v/>
      </c>
      <c r="D51" s="539" t="str">
        <f>IF(ISBLANK('Table 5-C| MPTE HAP'!D60),"",'Table 5-C| MPTE HAP'!D60)</f>
        <v/>
      </c>
      <c r="E51" s="351"/>
      <c r="F51" s="351"/>
      <c r="G51" s="404" t="str">
        <f>IF(A51="","",IF('Table 5-C| MPTE HAP'!P60&gt;0,'Table 5-C| MPTE HAP'!P60,""))</f>
        <v/>
      </c>
      <c r="H51" s="355" t="str">
        <f>IF(A51="","",IF('Table 5-C| MPTE HAP'!Q60="","",'Table 5-C| MPTE HAP'!Q60))</f>
        <v/>
      </c>
      <c r="I51" s="351"/>
      <c r="J51" s="356"/>
      <c r="K51" s="405" t="str">
        <f>IF(A51="","",IF('Table 5-C| MPTE HAP'!S60&gt;0,'Table 5-C| MPTE HAP'!S60,""))</f>
        <v/>
      </c>
      <c r="L51" s="357" t="str">
        <f>IFERROR(IF(OR('Table 5-C| MPTE HAP'!L60="",Q51="",R51="",AND(Q51="YES",T51=0),AND(R51="YES",U51=0)),"",IF(Q51="YES",'Table 5-C| MPTE HAP'!L60*(T51/S51),'Table 5-C| MPTE HAP'!L60))*IF(R51="YES",IF(VLOOKUP(C51,'HAP CAS &amp; Names'!$F$4:$H$186,3,)="YES",(1-U51),1),1),"")</f>
        <v/>
      </c>
      <c r="M51" s="136"/>
      <c r="N51" s="155">
        <f>SUMIF(C51:$C$60,C51,L51:$L$60)</f>
        <v>0</v>
      </c>
      <c r="Q51" s="125" t="str">
        <f t="shared" si="1"/>
        <v/>
      </c>
      <c r="R51" s="125" t="str">
        <f t="shared" si="2"/>
        <v/>
      </c>
      <c r="S51" s="436">
        <f t="shared" si="3"/>
        <v>0</v>
      </c>
      <c r="T51" s="436">
        <f t="shared" si="4"/>
        <v>0</v>
      </c>
      <c r="U51" s="147">
        <f>IF(AND(NOT(A51=""),NOT(B51=""),NOT(C51=""),NOT(ISBLANK(J51))),VLOOKUP(J51,'Emission Controls'!$A$3:$L$16,11,),IF(AND(A51="",NOT(B51=""),NOT(C51="")),U50,0))</f>
        <v>0</v>
      </c>
      <c r="AC51" s="100">
        <v>67663</v>
      </c>
      <c r="AD51" s="100">
        <f t="shared" si="0"/>
        <v>0</v>
      </c>
    </row>
    <row r="52" spans="1:30" s="144" customFormat="1" ht="18" customHeight="1" x14ac:dyDescent="0.2">
      <c r="A52" s="425" t="str">
        <f>IF(ISBLANK('Table 5-C| MPTE HAP'!A61),"",'Table 5-C| MPTE HAP'!A61)</f>
        <v/>
      </c>
      <c r="B52" s="426" t="str">
        <f>IF(ISBLANK('Table 5-C| MPTE HAP'!B61),"",'Table 5-C| MPTE HAP'!B61)</f>
        <v/>
      </c>
      <c r="C52" s="427" t="str">
        <f>IF(ISBLANK('Table 5-C| MPTE HAP'!C61),"",'Table 5-C| MPTE HAP'!C61)</f>
        <v/>
      </c>
      <c r="D52" s="539" t="str">
        <f>IF(ISBLANK('Table 5-C| MPTE HAP'!D61),"",'Table 5-C| MPTE HAP'!D61)</f>
        <v/>
      </c>
      <c r="E52" s="351"/>
      <c r="F52" s="351"/>
      <c r="G52" s="404" t="str">
        <f>IF(A52="","",IF('Table 5-C| MPTE HAP'!P61&gt;0,'Table 5-C| MPTE HAP'!P61,""))</f>
        <v/>
      </c>
      <c r="H52" s="355" t="str">
        <f>IF(A52="","",IF('Table 5-C| MPTE HAP'!Q61="","",'Table 5-C| MPTE HAP'!Q61))</f>
        <v/>
      </c>
      <c r="I52" s="351"/>
      <c r="J52" s="356"/>
      <c r="K52" s="405" t="str">
        <f>IF(A52="","",IF('Table 5-C| MPTE HAP'!S61&gt;0,'Table 5-C| MPTE HAP'!S61,""))</f>
        <v/>
      </c>
      <c r="L52" s="357" t="str">
        <f>IFERROR(IF(OR('Table 5-C| MPTE HAP'!L61="",Q52="",R52="",AND(Q52="YES",T52=0),AND(R52="YES",U52=0)),"",IF(Q52="YES",'Table 5-C| MPTE HAP'!L61*(T52/S52),'Table 5-C| MPTE HAP'!L61))*IF(R52="YES",IF(VLOOKUP(C52,'HAP CAS &amp; Names'!$F$4:$H$186,3,)="YES",(1-U52),1),1),"")</f>
        <v/>
      </c>
      <c r="M52" s="136"/>
      <c r="N52" s="155">
        <f>SUMIF(C52:$C$60,C52,L52:$L$60)</f>
        <v>0</v>
      </c>
      <c r="Q52" s="125" t="str">
        <f t="shared" si="1"/>
        <v/>
      </c>
      <c r="R52" s="125" t="str">
        <f t="shared" si="2"/>
        <v/>
      </c>
      <c r="S52" s="436">
        <f t="shared" si="3"/>
        <v>0</v>
      </c>
      <c r="T52" s="436">
        <f t="shared" si="4"/>
        <v>0</v>
      </c>
      <c r="U52" s="147">
        <f>IF(AND(NOT(A52=""),NOT(B52=""),NOT(C52=""),NOT(ISBLANK(J52))),VLOOKUP(J52,'Emission Controls'!$A$3:$L$16,11,),IF(AND(A52="",NOT(B52=""),NOT(C52="")),U51,0))</f>
        <v>0</v>
      </c>
      <c r="AC52" s="100">
        <v>67721</v>
      </c>
      <c r="AD52" s="100">
        <f t="shared" si="0"/>
        <v>0</v>
      </c>
    </row>
    <row r="53" spans="1:30" s="144" customFormat="1" ht="18" customHeight="1" x14ac:dyDescent="0.2">
      <c r="A53" s="425" t="str">
        <f>IF(ISBLANK('Table 5-C| MPTE HAP'!A62),"",'Table 5-C| MPTE HAP'!A62)</f>
        <v/>
      </c>
      <c r="B53" s="426" t="str">
        <f>IF(ISBLANK('Table 5-C| MPTE HAP'!B62),"",'Table 5-C| MPTE HAP'!B62)</f>
        <v/>
      </c>
      <c r="C53" s="427" t="str">
        <f>IF(ISBLANK('Table 5-C| MPTE HAP'!C62),"",'Table 5-C| MPTE HAP'!C62)</f>
        <v/>
      </c>
      <c r="D53" s="539" t="str">
        <f>IF(ISBLANK('Table 5-C| MPTE HAP'!D62),"",'Table 5-C| MPTE HAP'!D62)</f>
        <v/>
      </c>
      <c r="E53" s="351"/>
      <c r="F53" s="351"/>
      <c r="G53" s="404" t="str">
        <f>IF(A53="","",IF('Table 5-C| MPTE HAP'!P62&gt;0,'Table 5-C| MPTE HAP'!P62,""))</f>
        <v/>
      </c>
      <c r="H53" s="355" t="str">
        <f>IF(A53="","",IF('Table 5-C| MPTE HAP'!Q62="","",'Table 5-C| MPTE HAP'!Q62))</f>
        <v/>
      </c>
      <c r="I53" s="351"/>
      <c r="J53" s="356"/>
      <c r="K53" s="405" t="str">
        <f>IF(A53="","",IF('Table 5-C| MPTE HAP'!S62&gt;0,'Table 5-C| MPTE HAP'!S62,""))</f>
        <v/>
      </c>
      <c r="L53" s="357" t="str">
        <f>IFERROR(IF(OR('Table 5-C| MPTE HAP'!L62="",Q53="",R53="",AND(Q53="YES",T53=0),AND(R53="YES",U53=0)),"",IF(Q53="YES",'Table 5-C| MPTE HAP'!L62*(T53/S53),'Table 5-C| MPTE HAP'!L62))*IF(R53="YES",IF(VLOOKUP(C53,'HAP CAS &amp; Names'!$F$4:$H$186,3,)="YES",(1-U53),1),1),"")</f>
        <v/>
      </c>
      <c r="M53" s="136"/>
      <c r="N53" s="155">
        <f>SUMIF(C53:$C$60,C53,L53:$L$60)</f>
        <v>0</v>
      </c>
      <c r="Q53" s="125" t="str">
        <f t="shared" si="1"/>
        <v/>
      </c>
      <c r="R53" s="125" t="str">
        <f t="shared" si="2"/>
        <v/>
      </c>
      <c r="S53" s="436">
        <f t="shared" si="3"/>
        <v>0</v>
      </c>
      <c r="T53" s="436">
        <f t="shared" si="4"/>
        <v>0</v>
      </c>
      <c r="U53" s="147">
        <f>IF(AND(NOT(A53=""),NOT(B53=""),NOT(C53=""),NOT(ISBLANK(J53))),VLOOKUP(J53,'Emission Controls'!$A$3:$L$16,11,),IF(AND(A53="",NOT(B53=""),NOT(C53="")),U52,0))</f>
        <v>0</v>
      </c>
      <c r="AC53" s="100">
        <v>68122</v>
      </c>
      <c r="AD53" s="100">
        <f t="shared" si="0"/>
        <v>0</v>
      </c>
    </row>
    <row r="54" spans="1:30" s="144" customFormat="1" ht="18" customHeight="1" x14ac:dyDescent="0.2">
      <c r="A54" s="425" t="str">
        <f>IF(ISBLANK('Table 5-C| MPTE HAP'!A63),"",'Table 5-C| MPTE HAP'!A63)</f>
        <v/>
      </c>
      <c r="B54" s="426" t="str">
        <f>IF(ISBLANK('Table 5-C| MPTE HAP'!B63),"",'Table 5-C| MPTE HAP'!B63)</f>
        <v/>
      </c>
      <c r="C54" s="427" t="str">
        <f>IF(ISBLANK('Table 5-C| MPTE HAP'!C63),"",'Table 5-C| MPTE HAP'!C63)</f>
        <v/>
      </c>
      <c r="D54" s="539" t="str">
        <f>IF(ISBLANK('Table 5-C| MPTE HAP'!D63),"",'Table 5-C| MPTE HAP'!D63)</f>
        <v/>
      </c>
      <c r="E54" s="351"/>
      <c r="F54" s="351"/>
      <c r="G54" s="404" t="str">
        <f>IF(A54="","",IF('Table 5-C| MPTE HAP'!P63&gt;0,'Table 5-C| MPTE HAP'!P63,""))</f>
        <v/>
      </c>
      <c r="H54" s="355" t="str">
        <f>IF(A54="","",IF('Table 5-C| MPTE HAP'!Q63="","",'Table 5-C| MPTE HAP'!Q63))</f>
        <v/>
      </c>
      <c r="I54" s="351"/>
      <c r="J54" s="356"/>
      <c r="K54" s="405" t="str">
        <f>IF(A54="","",IF('Table 5-C| MPTE HAP'!S63&gt;0,'Table 5-C| MPTE HAP'!S63,""))</f>
        <v/>
      </c>
      <c r="L54" s="357" t="str">
        <f>IFERROR(IF(OR('Table 5-C| MPTE HAP'!L63="",Q54="",R54="",AND(Q54="YES",T54=0),AND(R54="YES",U54=0)),"",IF(Q54="YES",'Table 5-C| MPTE HAP'!L63*(T54/S54),'Table 5-C| MPTE HAP'!L63))*IF(R54="YES",IF(VLOOKUP(C54,'HAP CAS &amp; Names'!$F$4:$H$186,3,)="YES",(1-U54),1),1),"")</f>
        <v/>
      </c>
      <c r="M54" s="136"/>
      <c r="N54" s="155">
        <f>SUMIF(C54:$C$60,C54,L54:$L$60)</f>
        <v>0</v>
      </c>
      <c r="Q54" s="125" t="str">
        <f t="shared" si="1"/>
        <v/>
      </c>
      <c r="R54" s="125" t="str">
        <f t="shared" si="2"/>
        <v/>
      </c>
      <c r="S54" s="436">
        <f t="shared" si="3"/>
        <v>0</v>
      </c>
      <c r="T54" s="436">
        <f t="shared" si="4"/>
        <v>0</v>
      </c>
      <c r="U54" s="147">
        <f>IF(AND(NOT(A54=""),NOT(B54=""),NOT(C54=""),NOT(ISBLANK(J54))),VLOOKUP(J54,'Emission Controls'!$A$3:$L$16,11,),IF(AND(A54="",NOT(B54=""),NOT(C54="")),U53,0))</f>
        <v>0</v>
      </c>
      <c r="AC54" s="100">
        <v>71432</v>
      </c>
      <c r="AD54" s="100">
        <f t="shared" si="0"/>
        <v>0</v>
      </c>
    </row>
    <row r="55" spans="1:30" s="144" customFormat="1" ht="18" customHeight="1" x14ac:dyDescent="0.2">
      <c r="A55" s="425" t="str">
        <f>IF(ISBLANK('Table 5-C| MPTE HAP'!A64),"",'Table 5-C| MPTE HAP'!A64)</f>
        <v/>
      </c>
      <c r="B55" s="426" t="str">
        <f>IF(ISBLANK('Table 5-C| MPTE HAP'!B64),"",'Table 5-C| MPTE HAP'!B64)</f>
        <v/>
      </c>
      <c r="C55" s="427" t="str">
        <f>IF(ISBLANK('Table 5-C| MPTE HAP'!C64),"",'Table 5-C| MPTE HAP'!C64)</f>
        <v/>
      </c>
      <c r="D55" s="539" t="str">
        <f>IF(ISBLANK('Table 5-C| MPTE HAP'!D64),"",'Table 5-C| MPTE HAP'!D64)</f>
        <v/>
      </c>
      <c r="E55" s="351"/>
      <c r="F55" s="351"/>
      <c r="G55" s="404" t="str">
        <f>IF(A55="","",IF('Table 5-C| MPTE HAP'!P64&gt;0,'Table 5-C| MPTE HAP'!P64,""))</f>
        <v/>
      </c>
      <c r="H55" s="355" t="str">
        <f>IF(A55="","",IF('Table 5-C| MPTE HAP'!Q64="","",'Table 5-C| MPTE HAP'!Q64))</f>
        <v/>
      </c>
      <c r="I55" s="351"/>
      <c r="J55" s="356"/>
      <c r="K55" s="405" t="str">
        <f>IF(A55="","",IF('Table 5-C| MPTE HAP'!S64&gt;0,'Table 5-C| MPTE HAP'!S64,""))</f>
        <v/>
      </c>
      <c r="L55" s="357" t="str">
        <f>IFERROR(IF(OR('Table 5-C| MPTE HAP'!L64="",Q55="",R55="",AND(Q55="YES",T55=0),AND(R55="YES",U55=0)),"",IF(Q55="YES",'Table 5-C| MPTE HAP'!L64*(T55/S55),'Table 5-C| MPTE HAP'!L64))*IF(R55="YES",IF(VLOOKUP(C55,'HAP CAS &amp; Names'!$F$4:$H$186,3,)="YES",(1-U55),1),1),"")</f>
        <v/>
      </c>
      <c r="M55" s="136"/>
      <c r="N55" s="155">
        <f>SUMIF(C55:$C$60,C55,L55:$L$60)</f>
        <v>0</v>
      </c>
      <c r="Q55" s="125" t="str">
        <f t="shared" si="1"/>
        <v/>
      </c>
      <c r="R55" s="125" t="str">
        <f t="shared" si="2"/>
        <v/>
      </c>
      <c r="S55" s="436">
        <f t="shared" si="3"/>
        <v>0</v>
      </c>
      <c r="T55" s="436">
        <f t="shared" si="4"/>
        <v>0</v>
      </c>
      <c r="U55" s="147">
        <f>IF(AND(NOT(A55=""),NOT(B55=""),NOT(C55=""),NOT(ISBLANK(J55))),VLOOKUP(J55,'Emission Controls'!$A$3:$L$16,11,),IF(AND(A55="",NOT(B55=""),NOT(C55="")),U54,0))</f>
        <v>0</v>
      </c>
      <c r="AC55" s="100">
        <v>71556</v>
      </c>
      <c r="AD55" s="100">
        <f t="shared" si="0"/>
        <v>0</v>
      </c>
    </row>
    <row r="56" spans="1:30" s="144" customFormat="1" ht="18" customHeight="1" x14ac:dyDescent="0.2">
      <c r="A56" s="425" t="str">
        <f>IF(ISBLANK('Table 5-C| MPTE HAP'!A65),"",'Table 5-C| MPTE HAP'!A65)</f>
        <v/>
      </c>
      <c r="B56" s="426" t="str">
        <f>IF(ISBLANK('Table 5-C| MPTE HAP'!B65),"",'Table 5-C| MPTE HAP'!B65)</f>
        <v/>
      </c>
      <c r="C56" s="427" t="str">
        <f>IF(ISBLANK('Table 5-C| MPTE HAP'!C65),"",'Table 5-C| MPTE HAP'!C65)</f>
        <v/>
      </c>
      <c r="D56" s="539" t="str">
        <f>IF(ISBLANK('Table 5-C| MPTE HAP'!D65),"",'Table 5-C| MPTE HAP'!D65)</f>
        <v/>
      </c>
      <c r="E56" s="351"/>
      <c r="F56" s="351"/>
      <c r="G56" s="404" t="str">
        <f>IF(A56="","",IF('Table 5-C| MPTE HAP'!P65&gt;0,'Table 5-C| MPTE HAP'!P65,""))</f>
        <v/>
      </c>
      <c r="H56" s="355" t="str">
        <f>IF(A56="","",IF('Table 5-C| MPTE HAP'!Q65="","",'Table 5-C| MPTE HAP'!Q65))</f>
        <v/>
      </c>
      <c r="I56" s="351"/>
      <c r="J56" s="356"/>
      <c r="K56" s="405" t="str">
        <f>IF(A56="","",IF('Table 5-C| MPTE HAP'!S65&gt;0,'Table 5-C| MPTE HAP'!S65,""))</f>
        <v/>
      </c>
      <c r="L56" s="357" t="str">
        <f>IFERROR(IF(OR('Table 5-C| MPTE HAP'!L65="",Q56="",R56="",AND(Q56="YES",T56=0),AND(R56="YES",U56=0)),"",IF(Q56="YES",'Table 5-C| MPTE HAP'!L65*(T56/S56),'Table 5-C| MPTE HAP'!L65))*IF(R56="YES",IF(VLOOKUP(C56,'HAP CAS &amp; Names'!$F$4:$H$186,3,)="YES",(1-U56),1),1),"")</f>
        <v/>
      </c>
      <c r="M56" s="136"/>
      <c r="N56" s="155">
        <f>SUMIF(C56:$C$60,C56,L56:$L$60)</f>
        <v>0</v>
      </c>
      <c r="Q56" s="125" t="str">
        <f t="shared" si="1"/>
        <v/>
      </c>
      <c r="R56" s="125" t="str">
        <f t="shared" si="2"/>
        <v/>
      </c>
      <c r="S56" s="436">
        <f t="shared" si="3"/>
        <v>0</v>
      </c>
      <c r="T56" s="436">
        <f t="shared" si="4"/>
        <v>0</v>
      </c>
      <c r="U56" s="147">
        <f>IF(AND(NOT(A56=""),NOT(B56=""),NOT(C56=""),NOT(ISBLANK(J56))),VLOOKUP(J56,'Emission Controls'!$A$3:$L$16,11,),IF(AND(A56="",NOT(B56=""),NOT(C56="")),U55,0))</f>
        <v>0</v>
      </c>
      <c r="AC56" s="100">
        <v>72435</v>
      </c>
      <c r="AD56" s="100">
        <f t="shared" si="0"/>
        <v>0</v>
      </c>
    </row>
    <row r="57" spans="1:30" s="144" customFormat="1" ht="18" customHeight="1" x14ac:dyDescent="0.2">
      <c r="A57" s="425" t="str">
        <f>IF(ISBLANK('Table 5-C| MPTE HAP'!A66),"",'Table 5-C| MPTE HAP'!A66)</f>
        <v/>
      </c>
      <c r="B57" s="426" t="str">
        <f>IF(ISBLANK('Table 5-C| MPTE HAP'!B66),"",'Table 5-C| MPTE HAP'!B66)</f>
        <v/>
      </c>
      <c r="C57" s="427" t="str">
        <f>IF(ISBLANK('Table 5-C| MPTE HAP'!C66),"",'Table 5-C| MPTE HAP'!C66)</f>
        <v/>
      </c>
      <c r="D57" s="539" t="str">
        <f>IF(ISBLANK('Table 5-C| MPTE HAP'!D66),"",'Table 5-C| MPTE HAP'!D66)</f>
        <v/>
      </c>
      <c r="E57" s="351"/>
      <c r="F57" s="351"/>
      <c r="G57" s="404" t="str">
        <f>IF(A57="","",IF('Table 5-C| MPTE HAP'!P66&gt;0,'Table 5-C| MPTE HAP'!P66,""))</f>
        <v/>
      </c>
      <c r="H57" s="355" t="str">
        <f>IF(A57="","",IF('Table 5-C| MPTE HAP'!Q66="","",'Table 5-C| MPTE HAP'!Q66))</f>
        <v/>
      </c>
      <c r="I57" s="351"/>
      <c r="J57" s="356"/>
      <c r="K57" s="405" t="str">
        <f>IF(A57="","",IF('Table 5-C| MPTE HAP'!S66&gt;0,'Table 5-C| MPTE HAP'!S66,""))</f>
        <v/>
      </c>
      <c r="L57" s="357" t="str">
        <f>IFERROR(IF(OR('Table 5-C| MPTE HAP'!L66="",Q57="",R57="",AND(Q57="YES",T57=0),AND(R57="YES",U57=0)),"",IF(Q57="YES",'Table 5-C| MPTE HAP'!L66*(T57/S57),'Table 5-C| MPTE HAP'!L66))*IF(R57="YES",IF(VLOOKUP(C57,'HAP CAS &amp; Names'!$F$4:$H$186,3,)="YES",(1-U57),1),1),"")</f>
        <v/>
      </c>
      <c r="M57" s="136"/>
      <c r="N57" s="155">
        <f>SUMIF(C57:$C$60,C57,L57:$L$60)</f>
        <v>0</v>
      </c>
      <c r="Q57" s="125" t="str">
        <f t="shared" si="1"/>
        <v/>
      </c>
      <c r="R57" s="125" t="str">
        <f t="shared" si="2"/>
        <v/>
      </c>
      <c r="S57" s="436">
        <f t="shared" si="3"/>
        <v>0</v>
      </c>
      <c r="T57" s="436">
        <f t="shared" si="4"/>
        <v>0</v>
      </c>
      <c r="U57" s="147">
        <f>IF(AND(NOT(A57=""),NOT(B57=""),NOT(C57=""),NOT(ISBLANK(J57))),VLOOKUP(J57,'Emission Controls'!$A$3:$L$16,11,),IF(AND(A57="",NOT(B57=""),NOT(C57="")),U56,0))</f>
        <v>0</v>
      </c>
      <c r="AC57" s="100">
        <v>74839</v>
      </c>
      <c r="AD57" s="100">
        <f t="shared" si="0"/>
        <v>0</v>
      </c>
    </row>
    <row r="58" spans="1:30" s="144" customFormat="1" ht="18" customHeight="1" x14ac:dyDescent="0.2">
      <c r="A58" s="425" t="str">
        <f>IF(ISBLANK('Table 5-C| MPTE HAP'!A67),"",'Table 5-C| MPTE HAP'!A67)</f>
        <v/>
      </c>
      <c r="B58" s="426" t="str">
        <f>IF(ISBLANK('Table 5-C| MPTE HAP'!B67),"",'Table 5-C| MPTE HAP'!B67)</f>
        <v/>
      </c>
      <c r="C58" s="427" t="str">
        <f>IF(ISBLANK('Table 5-C| MPTE HAP'!C67),"",'Table 5-C| MPTE HAP'!C67)</f>
        <v/>
      </c>
      <c r="D58" s="539" t="str">
        <f>IF(ISBLANK('Table 5-C| MPTE HAP'!D67),"",'Table 5-C| MPTE HAP'!D67)</f>
        <v/>
      </c>
      <c r="E58" s="351"/>
      <c r="F58" s="351"/>
      <c r="G58" s="404" t="str">
        <f>IF(A58="","",IF('Table 5-C| MPTE HAP'!P67&gt;0,'Table 5-C| MPTE HAP'!P67,""))</f>
        <v/>
      </c>
      <c r="H58" s="355" t="str">
        <f>IF(A58="","",IF('Table 5-C| MPTE HAP'!Q67="","",'Table 5-C| MPTE HAP'!Q67))</f>
        <v/>
      </c>
      <c r="I58" s="351"/>
      <c r="J58" s="356"/>
      <c r="K58" s="405" t="str">
        <f>IF(A58="","",IF('Table 5-C| MPTE HAP'!S67&gt;0,'Table 5-C| MPTE HAP'!S67,""))</f>
        <v/>
      </c>
      <c r="L58" s="357" t="str">
        <f>IFERROR(IF(OR('Table 5-C| MPTE HAP'!L67="",Q58="",R58="",AND(Q58="YES",T58=0),AND(R58="YES",U58=0)),"",IF(Q58="YES",'Table 5-C| MPTE HAP'!L67*(T58/S58),'Table 5-C| MPTE HAP'!L67))*IF(R58="YES",IF(VLOOKUP(C58,'HAP CAS &amp; Names'!$F$4:$H$186,3,)="YES",(1-U58),1),1),"")</f>
        <v/>
      </c>
      <c r="M58" s="136"/>
      <c r="N58" s="155">
        <f>SUMIF(C58:$C$60,C58,L58:$L$60)</f>
        <v>0</v>
      </c>
      <c r="Q58" s="125" t="str">
        <f t="shared" si="1"/>
        <v/>
      </c>
      <c r="R58" s="125" t="str">
        <f t="shared" si="2"/>
        <v/>
      </c>
      <c r="S58" s="436">
        <f t="shared" si="3"/>
        <v>0</v>
      </c>
      <c r="T58" s="436">
        <f t="shared" si="4"/>
        <v>0</v>
      </c>
      <c r="U58" s="147">
        <f>IF(AND(NOT(A58=""),NOT(B58=""),NOT(C58=""),NOT(ISBLANK(J58))),VLOOKUP(J58,'Emission Controls'!$A$3:$L$16,11,),IF(AND(A58="",NOT(B58=""),NOT(C58="")),U57,0))</f>
        <v>0</v>
      </c>
      <c r="AC58" s="100">
        <v>74873</v>
      </c>
      <c r="AD58" s="100">
        <f t="shared" si="0"/>
        <v>0</v>
      </c>
    </row>
    <row r="59" spans="1:30" s="144" customFormat="1" ht="18" customHeight="1" x14ac:dyDescent="0.2">
      <c r="A59" s="425" t="str">
        <f>IF(ISBLANK('Table 5-C| MPTE HAP'!A68),"",'Table 5-C| MPTE HAP'!A68)</f>
        <v/>
      </c>
      <c r="B59" s="426" t="str">
        <f>IF(ISBLANK('Table 5-C| MPTE HAP'!B68),"",'Table 5-C| MPTE HAP'!B68)</f>
        <v/>
      </c>
      <c r="C59" s="427" t="str">
        <f>IF(ISBLANK('Table 5-C| MPTE HAP'!C68),"",'Table 5-C| MPTE HAP'!C68)</f>
        <v/>
      </c>
      <c r="D59" s="539" t="str">
        <f>IF(ISBLANK('Table 5-C| MPTE HAP'!D68),"",'Table 5-C| MPTE HAP'!D68)</f>
        <v/>
      </c>
      <c r="E59" s="351"/>
      <c r="F59" s="351"/>
      <c r="G59" s="404" t="str">
        <f>IF(A59="","",IF('Table 5-C| MPTE HAP'!P68&gt;0,'Table 5-C| MPTE HAP'!P68,""))</f>
        <v/>
      </c>
      <c r="H59" s="355" t="str">
        <f>IF(A59="","",IF('Table 5-C| MPTE HAP'!Q68="","",'Table 5-C| MPTE HAP'!Q68))</f>
        <v/>
      </c>
      <c r="I59" s="351"/>
      <c r="J59" s="356"/>
      <c r="K59" s="405" t="str">
        <f>IF(A59="","",IF('Table 5-C| MPTE HAP'!S68&gt;0,'Table 5-C| MPTE HAP'!S68,""))</f>
        <v/>
      </c>
      <c r="L59" s="357" t="str">
        <f>IFERROR(IF(OR('Table 5-C| MPTE HAP'!L68="",Q59="",R59="",AND(Q59="YES",T59=0),AND(R59="YES",U59=0)),"",IF(Q59="YES",'Table 5-C| MPTE HAP'!L68*(T59/S59),'Table 5-C| MPTE HAP'!L68))*IF(R59="YES",IF(VLOOKUP(C59,'HAP CAS &amp; Names'!$F$4:$H$186,3,)="YES",(1-U59),1),1),"")</f>
        <v/>
      </c>
      <c r="M59" s="136"/>
      <c r="N59" s="155">
        <f>SUMIF(C59:$C$60,C59,L59:$L$60)</f>
        <v>0</v>
      </c>
      <c r="Q59" s="125" t="str">
        <f t="shared" si="1"/>
        <v/>
      </c>
      <c r="R59" s="125" t="str">
        <f t="shared" si="2"/>
        <v/>
      </c>
      <c r="S59" s="436">
        <f t="shared" si="3"/>
        <v>0</v>
      </c>
      <c r="T59" s="436">
        <f t="shared" si="4"/>
        <v>0</v>
      </c>
      <c r="U59" s="147">
        <f>IF(AND(NOT(A59=""),NOT(B59=""),NOT(C59=""),NOT(ISBLANK(J59))),VLOOKUP(J59,'Emission Controls'!$A$3:$L$16,11,),IF(AND(A59="",NOT(B59=""),NOT(C59="")),U58,0))</f>
        <v>0</v>
      </c>
      <c r="AC59" s="100">
        <v>74884</v>
      </c>
      <c r="AD59" s="100">
        <f t="shared" si="0"/>
        <v>0</v>
      </c>
    </row>
    <row r="60" spans="1:30" s="144" customFormat="1" ht="18" customHeight="1" thickBot="1" x14ac:dyDescent="0.25">
      <c r="A60" s="428" t="str">
        <f>IF(ISBLANK('Table 5-C| MPTE HAP'!A69),"",'Table 5-C| MPTE HAP'!A69)</f>
        <v/>
      </c>
      <c r="B60" s="429" t="str">
        <f>IF(ISBLANK('Table 5-C| MPTE HAP'!B69),"",'Table 5-C| MPTE HAP'!B69)</f>
        <v/>
      </c>
      <c r="C60" s="430" t="str">
        <f>IF(ISBLANK('Table 5-C| MPTE HAP'!C69),"",'Table 5-C| MPTE HAP'!C69)</f>
        <v/>
      </c>
      <c r="D60" s="540" t="str">
        <f>IF(ISBLANK('Table 5-C| MPTE HAP'!D69),"",'Table 5-C| MPTE HAP'!D69)</f>
        <v/>
      </c>
      <c r="E60" s="360"/>
      <c r="F60" s="360"/>
      <c r="G60" s="406" t="str">
        <f>IF(A60="","",IF('Table 5-C| MPTE HAP'!P69&gt;0,'Table 5-C| MPTE HAP'!P69,""))</f>
        <v/>
      </c>
      <c r="H60" s="364" t="str">
        <f>IF(A60="","",IF('Table 5-C| MPTE HAP'!Q69="","",'Table 5-C| MPTE HAP'!Q69))</f>
        <v/>
      </c>
      <c r="I60" s="360"/>
      <c r="J60" s="365"/>
      <c r="K60" s="407" t="str">
        <f>IF(A60="","",IF('Table 5-C| MPTE HAP'!S69&gt;0,'Table 5-C| MPTE HAP'!S69,""))</f>
        <v/>
      </c>
      <c r="L60" s="366" t="str">
        <f>IFERROR(IF(OR('Table 5-C| MPTE HAP'!L69="",Q60="",R60="",AND(Q60="YES",T60=0),AND(R60="YES",U60=0)),"",IF(Q60="YES",'Table 5-C| MPTE HAP'!L69*(T60/S60),'Table 5-C| MPTE HAP'!L69))*IF(R60="YES",IF(VLOOKUP(C60,'HAP CAS &amp; Names'!$F$4:$H$186,3,)="YES",(1-U60),1),1),"")</f>
        <v/>
      </c>
      <c r="M60" s="136"/>
      <c r="N60" s="155">
        <f>SUMIF(C60:$C$60,C60,L60:$L$60)</f>
        <v>0</v>
      </c>
      <c r="Q60" s="125" t="str">
        <f t="shared" si="1"/>
        <v/>
      </c>
      <c r="R60" s="125" t="str">
        <f t="shared" si="2"/>
        <v/>
      </c>
      <c r="S60" s="436">
        <f t="shared" si="3"/>
        <v>0</v>
      </c>
      <c r="T60" s="436">
        <f t="shared" si="4"/>
        <v>0</v>
      </c>
      <c r="U60" s="147">
        <f>IF(AND(NOT(A60=""),NOT(B60=""),NOT(C60=""),NOT(ISBLANK(J60))),VLOOKUP(J60,'Emission Controls'!$A$3:$L$16,11,),IF(AND(A60="",NOT(B60=""),NOT(C60="")),U59,0))</f>
        <v>0</v>
      </c>
      <c r="AC60" s="100">
        <v>75003</v>
      </c>
      <c r="AD60" s="100">
        <f t="shared" si="0"/>
        <v>0</v>
      </c>
    </row>
    <row r="61" spans="1:30" s="144" customFormat="1" ht="18" customHeight="1" x14ac:dyDescent="0.2">
      <c r="A61" s="48"/>
      <c r="B61" s="48"/>
      <c r="C61" s="48"/>
      <c r="D61" s="48"/>
      <c r="E61" s="48"/>
      <c r="F61" s="48"/>
      <c r="G61" s="48"/>
      <c r="H61" s="48"/>
      <c r="I61" s="48"/>
      <c r="J61" s="145"/>
      <c r="K61" s="145"/>
      <c r="L61" s="48"/>
      <c r="M61" s="136"/>
      <c r="N61" s="155"/>
      <c r="Q61" s="125"/>
      <c r="R61" s="125"/>
      <c r="S61" s="436"/>
      <c r="T61" s="436"/>
      <c r="U61" s="147"/>
      <c r="AC61" s="100">
        <v>75014</v>
      </c>
      <c r="AD61" s="100">
        <f t="shared" ref="AD61:AD92" si="5">SUMIF($C$29:$C$60,AC61,$L$29:$L$60)</f>
        <v>0</v>
      </c>
    </row>
    <row r="62" spans="1:30" s="144" customFormat="1" ht="18" customHeight="1" x14ac:dyDescent="0.2">
      <c r="A62" s="48"/>
      <c r="B62" s="48"/>
      <c r="C62" s="48"/>
      <c r="D62" s="48"/>
      <c r="E62" s="48"/>
      <c r="F62" s="48"/>
      <c r="G62" s="48"/>
      <c r="H62" s="48"/>
      <c r="I62" s="48"/>
      <c r="J62" s="145"/>
      <c r="K62" s="145"/>
      <c r="L62" s="48"/>
      <c r="M62" s="136"/>
      <c r="N62" s="155"/>
      <c r="Q62" s="125"/>
      <c r="R62" s="125"/>
      <c r="S62" s="436"/>
      <c r="T62" s="436"/>
      <c r="U62" s="147"/>
      <c r="AC62" s="100">
        <v>75058</v>
      </c>
      <c r="AD62" s="100">
        <f t="shared" si="5"/>
        <v>0</v>
      </c>
    </row>
    <row r="63" spans="1:30" s="144" customFormat="1" ht="18" customHeight="1" x14ac:dyDescent="0.2">
      <c r="A63" s="48"/>
      <c r="B63" s="48"/>
      <c r="C63" s="48"/>
      <c r="D63" s="48"/>
      <c r="E63" s="48"/>
      <c r="F63" s="48"/>
      <c r="G63" s="48"/>
      <c r="H63" s="48"/>
      <c r="I63" s="48"/>
      <c r="J63" s="145"/>
      <c r="K63" s="145"/>
      <c r="L63" s="48"/>
      <c r="M63" s="136"/>
      <c r="N63" s="155"/>
      <c r="Q63" s="125"/>
      <c r="R63" s="125"/>
      <c r="S63" s="436"/>
      <c r="T63" s="436"/>
      <c r="U63" s="147"/>
      <c r="AC63" s="100">
        <v>75070</v>
      </c>
      <c r="AD63" s="100">
        <f t="shared" si="5"/>
        <v>0</v>
      </c>
    </row>
    <row r="64" spans="1:30" s="144" customFormat="1" ht="18" customHeight="1" x14ac:dyDescent="0.2">
      <c r="A64" s="48"/>
      <c r="B64" s="48"/>
      <c r="C64" s="48"/>
      <c r="D64" s="48"/>
      <c r="E64" s="48"/>
      <c r="F64" s="48"/>
      <c r="G64" s="48"/>
      <c r="H64" s="48"/>
      <c r="I64" s="48"/>
      <c r="J64" s="145"/>
      <c r="K64" s="145"/>
      <c r="L64" s="48"/>
      <c r="M64" s="136"/>
      <c r="N64" s="155"/>
      <c r="Q64" s="125"/>
      <c r="R64" s="125"/>
      <c r="S64" s="436"/>
      <c r="T64" s="436"/>
      <c r="U64" s="147"/>
      <c r="AC64" s="100">
        <v>75092</v>
      </c>
      <c r="AD64" s="100">
        <f t="shared" si="5"/>
        <v>0</v>
      </c>
    </row>
    <row r="65" spans="1:30" s="144" customFormat="1" ht="18" customHeight="1" x14ac:dyDescent="0.2">
      <c r="A65" s="48"/>
      <c r="B65" s="48"/>
      <c r="C65" s="48"/>
      <c r="D65" s="48"/>
      <c r="E65" s="48"/>
      <c r="F65" s="48"/>
      <c r="G65" s="48"/>
      <c r="H65" s="48"/>
      <c r="I65" s="48"/>
      <c r="J65" s="145"/>
      <c r="K65" s="145"/>
      <c r="L65" s="48"/>
      <c r="M65" s="136"/>
      <c r="N65" s="155"/>
      <c r="Q65" s="125"/>
      <c r="R65" s="125"/>
      <c r="S65" s="436"/>
      <c r="T65" s="436"/>
      <c r="U65" s="147"/>
      <c r="AC65" s="100">
        <v>75150</v>
      </c>
      <c r="AD65" s="100">
        <f t="shared" si="5"/>
        <v>0</v>
      </c>
    </row>
    <row r="66" spans="1:30" s="144" customFormat="1" ht="18" customHeight="1" x14ac:dyDescent="0.2">
      <c r="A66" s="48"/>
      <c r="B66" s="48"/>
      <c r="C66" s="48"/>
      <c r="D66" s="48"/>
      <c r="E66" s="48"/>
      <c r="F66" s="48"/>
      <c r="G66" s="48"/>
      <c r="H66" s="48"/>
      <c r="I66" s="48"/>
      <c r="J66" s="145"/>
      <c r="K66" s="145"/>
      <c r="L66" s="48"/>
      <c r="M66" s="136"/>
      <c r="N66" s="155"/>
      <c r="Q66" s="125"/>
      <c r="R66" s="125"/>
      <c r="S66" s="436"/>
      <c r="T66" s="436"/>
      <c r="U66" s="147"/>
      <c r="AC66" s="100">
        <v>75218</v>
      </c>
      <c r="AD66" s="100">
        <f t="shared" si="5"/>
        <v>0</v>
      </c>
    </row>
    <row r="67" spans="1:30" s="144" customFormat="1" ht="18" customHeight="1" x14ac:dyDescent="0.2">
      <c r="A67" s="48"/>
      <c r="B67" s="48"/>
      <c r="C67" s="48"/>
      <c r="D67" s="48"/>
      <c r="E67" s="48"/>
      <c r="F67" s="48"/>
      <c r="G67" s="48"/>
      <c r="H67" s="48"/>
      <c r="I67" s="48"/>
      <c r="J67" s="145"/>
      <c r="K67" s="145"/>
      <c r="L67" s="48"/>
      <c r="M67" s="136"/>
      <c r="N67" s="155"/>
      <c r="Q67" s="125"/>
      <c r="R67" s="125"/>
      <c r="S67" s="436"/>
      <c r="T67" s="436"/>
      <c r="U67" s="147"/>
      <c r="AC67" s="100">
        <v>75252</v>
      </c>
      <c r="AD67" s="100">
        <f t="shared" si="5"/>
        <v>0</v>
      </c>
    </row>
    <row r="68" spans="1:30" s="144" customFormat="1" ht="18" customHeight="1" x14ac:dyDescent="0.2">
      <c r="A68" s="48"/>
      <c r="B68" s="48"/>
      <c r="C68" s="48"/>
      <c r="D68" s="48"/>
      <c r="E68" s="48"/>
      <c r="F68" s="48"/>
      <c r="G68" s="48"/>
      <c r="H68" s="48"/>
      <c r="I68" s="48"/>
      <c r="J68" s="145"/>
      <c r="K68" s="145"/>
      <c r="L68" s="48"/>
      <c r="M68" s="136"/>
      <c r="N68" s="155"/>
      <c r="Q68" s="125"/>
      <c r="R68" s="125"/>
      <c r="S68" s="436"/>
      <c r="T68" s="436"/>
      <c r="U68" s="147"/>
      <c r="AC68" s="100">
        <v>75343</v>
      </c>
      <c r="AD68" s="100">
        <f t="shared" si="5"/>
        <v>0</v>
      </c>
    </row>
    <row r="69" spans="1:30" s="144" customFormat="1" ht="18" customHeight="1" x14ac:dyDescent="0.2">
      <c r="A69" s="48"/>
      <c r="B69" s="48"/>
      <c r="C69" s="48"/>
      <c r="D69" s="48"/>
      <c r="E69" s="48"/>
      <c r="F69" s="48"/>
      <c r="G69" s="48"/>
      <c r="H69" s="48"/>
      <c r="I69" s="48"/>
      <c r="J69" s="145"/>
      <c r="K69" s="145"/>
      <c r="L69" s="48"/>
      <c r="M69" s="136"/>
      <c r="N69" s="155"/>
      <c r="Q69" s="125"/>
      <c r="R69" s="125"/>
      <c r="S69" s="436"/>
      <c r="T69" s="436"/>
      <c r="U69" s="147"/>
      <c r="AC69" s="100">
        <v>75354</v>
      </c>
      <c r="AD69" s="100">
        <f t="shared" si="5"/>
        <v>0</v>
      </c>
    </row>
    <row r="70" spans="1:30" s="144" customFormat="1" ht="18" customHeight="1" x14ac:dyDescent="0.2">
      <c r="A70" s="48"/>
      <c r="B70" s="48"/>
      <c r="C70" s="48"/>
      <c r="D70" s="48"/>
      <c r="E70" s="48"/>
      <c r="F70" s="48"/>
      <c r="G70" s="48"/>
      <c r="H70" s="48"/>
      <c r="I70" s="48"/>
      <c r="J70" s="145"/>
      <c r="K70" s="145"/>
      <c r="L70" s="48"/>
      <c r="M70" s="136"/>
      <c r="N70" s="155"/>
      <c r="Q70" s="125"/>
      <c r="R70" s="125"/>
      <c r="S70" s="436"/>
      <c r="T70" s="436"/>
      <c r="U70" s="147"/>
      <c r="AC70" s="100">
        <v>75445</v>
      </c>
      <c r="AD70" s="100">
        <f t="shared" si="5"/>
        <v>0</v>
      </c>
    </row>
    <row r="71" spans="1:30" s="144" customFormat="1" ht="18" customHeight="1" x14ac:dyDescent="0.2">
      <c r="A71" s="48"/>
      <c r="B71" s="48"/>
      <c r="C71" s="48"/>
      <c r="D71" s="48"/>
      <c r="E71" s="48"/>
      <c r="F71" s="48"/>
      <c r="G71" s="48"/>
      <c r="H71" s="48"/>
      <c r="I71" s="48"/>
      <c r="J71" s="145"/>
      <c r="K71" s="145"/>
      <c r="L71" s="48"/>
      <c r="M71" s="136"/>
      <c r="N71" s="155"/>
      <c r="Q71" s="125"/>
      <c r="R71" s="125"/>
      <c r="S71" s="436"/>
      <c r="T71" s="436"/>
      <c r="U71" s="147"/>
      <c r="AC71" s="100">
        <v>75558</v>
      </c>
      <c r="AD71" s="100">
        <f t="shared" si="5"/>
        <v>0</v>
      </c>
    </row>
    <row r="72" spans="1:30" s="144" customFormat="1" ht="18" customHeight="1" x14ac:dyDescent="0.2">
      <c r="A72" s="48"/>
      <c r="B72" s="48"/>
      <c r="C72" s="48"/>
      <c r="D72" s="48"/>
      <c r="E72" s="48"/>
      <c r="F72" s="48"/>
      <c r="G72" s="48"/>
      <c r="H72" s="48"/>
      <c r="I72" s="48"/>
      <c r="J72" s="145"/>
      <c r="K72" s="145"/>
      <c r="L72" s="48"/>
      <c r="M72" s="136"/>
      <c r="N72" s="155"/>
      <c r="Q72" s="125"/>
      <c r="R72" s="125"/>
      <c r="S72" s="436"/>
      <c r="T72" s="436"/>
      <c r="U72" s="147"/>
      <c r="AC72" s="100">
        <v>75569</v>
      </c>
      <c r="AD72" s="100">
        <f t="shared" si="5"/>
        <v>0</v>
      </c>
    </row>
    <row r="73" spans="1:30" s="144" customFormat="1" ht="18" customHeight="1" x14ac:dyDescent="0.2">
      <c r="A73" s="48"/>
      <c r="B73" s="48"/>
      <c r="C73" s="48"/>
      <c r="D73" s="48"/>
      <c r="E73" s="48"/>
      <c r="F73" s="48"/>
      <c r="G73" s="48"/>
      <c r="H73" s="48"/>
      <c r="I73" s="48"/>
      <c r="J73" s="145"/>
      <c r="K73" s="145"/>
      <c r="L73" s="48"/>
      <c r="M73" s="136"/>
      <c r="N73" s="155"/>
      <c r="Q73" s="125"/>
      <c r="R73" s="125"/>
      <c r="S73" s="436"/>
      <c r="T73" s="436"/>
      <c r="U73" s="147"/>
      <c r="AC73" s="100">
        <v>76448</v>
      </c>
      <c r="AD73" s="100">
        <f t="shared" si="5"/>
        <v>0</v>
      </c>
    </row>
    <row r="74" spans="1:30" s="144" customFormat="1" ht="18" customHeight="1" x14ac:dyDescent="0.2">
      <c r="A74" s="48"/>
      <c r="B74" s="48"/>
      <c r="C74" s="48"/>
      <c r="D74" s="48"/>
      <c r="E74" s="48"/>
      <c r="F74" s="48"/>
      <c r="G74" s="48"/>
      <c r="H74" s="48"/>
      <c r="I74" s="48"/>
      <c r="J74" s="145"/>
      <c r="K74" s="145"/>
      <c r="L74" s="48"/>
      <c r="M74" s="136"/>
      <c r="N74" s="155"/>
      <c r="Q74" s="125"/>
      <c r="R74" s="125"/>
      <c r="S74" s="436"/>
      <c r="T74" s="436"/>
      <c r="U74" s="147"/>
      <c r="AC74" s="100">
        <v>77474</v>
      </c>
      <c r="AD74" s="100">
        <f t="shared" si="5"/>
        <v>0</v>
      </c>
    </row>
    <row r="75" spans="1:30" s="144" customFormat="1" ht="18" customHeight="1" x14ac:dyDescent="0.2">
      <c r="A75" s="48"/>
      <c r="B75" s="48"/>
      <c r="C75" s="48"/>
      <c r="D75" s="48"/>
      <c r="E75" s="48"/>
      <c r="F75" s="48"/>
      <c r="G75" s="48"/>
      <c r="H75" s="48"/>
      <c r="I75" s="48"/>
      <c r="J75" s="145"/>
      <c r="K75" s="145"/>
      <c r="L75" s="48"/>
      <c r="M75" s="136"/>
      <c r="N75" s="155"/>
      <c r="Q75" s="125"/>
      <c r="R75" s="125"/>
      <c r="S75" s="436"/>
      <c r="T75" s="436"/>
      <c r="U75" s="147"/>
      <c r="AC75" s="100">
        <v>77781</v>
      </c>
      <c r="AD75" s="100">
        <f t="shared" si="5"/>
        <v>0</v>
      </c>
    </row>
    <row r="76" spans="1:30" s="144" customFormat="1" ht="18" customHeight="1" x14ac:dyDescent="0.2">
      <c r="A76" s="48"/>
      <c r="B76" s="48"/>
      <c r="C76" s="48"/>
      <c r="D76" s="48"/>
      <c r="E76" s="48"/>
      <c r="F76" s="48"/>
      <c r="G76" s="48"/>
      <c r="H76" s="48"/>
      <c r="I76" s="48"/>
      <c r="J76" s="145"/>
      <c r="K76" s="145"/>
      <c r="L76" s="48"/>
      <c r="M76" s="136"/>
      <c r="N76" s="155"/>
      <c r="Q76" s="125"/>
      <c r="R76" s="125"/>
      <c r="S76" s="436"/>
      <c r="T76" s="436"/>
      <c r="U76" s="147"/>
      <c r="AC76" s="100">
        <v>78591</v>
      </c>
      <c r="AD76" s="100">
        <f t="shared" si="5"/>
        <v>0</v>
      </c>
    </row>
    <row r="77" spans="1:30" s="144" customFormat="1" ht="18" customHeight="1" x14ac:dyDescent="0.2">
      <c r="A77" s="48"/>
      <c r="B77" s="48"/>
      <c r="C77" s="48"/>
      <c r="D77" s="48"/>
      <c r="E77" s="48"/>
      <c r="F77" s="48"/>
      <c r="G77" s="48"/>
      <c r="H77" s="48"/>
      <c r="I77" s="48"/>
      <c r="J77" s="145"/>
      <c r="K77" s="145"/>
      <c r="L77" s="48"/>
      <c r="M77" s="136"/>
      <c r="N77" s="155"/>
      <c r="Q77" s="125"/>
      <c r="R77" s="125"/>
      <c r="S77" s="436"/>
      <c r="T77" s="436"/>
      <c r="U77" s="147"/>
      <c r="AC77" s="100">
        <v>78875</v>
      </c>
      <c r="AD77" s="100">
        <f t="shared" si="5"/>
        <v>0</v>
      </c>
    </row>
    <row r="78" spans="1:30" s="144" customFormat="1" ht="18" customHeight="1" x14ac:dyDescent="0.2">
      <c r="A78" s="48"/>
      <c r="B78" s="48"/>
      <c r="C78" s="48"/>
      <c r="D78" s="48"/>
      <c r="E78" s="48"/>
      <c r="F78" s="48"/>
      <c r="G78" s="48"/>
      <c r="H78" s="48"/>
      <c r="I78" s="48"/>
      <c r="J78" s="145"/>
      <c r="K78" s="145"/>
      <c r="L78" s="48"/>
      <c r="M78" s="136"/>
      <c r="N78" s="155"/>
      <c r="Q78" s="125"/>
      <c r="R78" s="125"/>
      <c r="S78" s="436"/>
      <c r="T78" s="436"/>
      <c r="U78" s="147"/>
      <c r="AC78" s="100">
        <v>79005</v>
      </c>
      <c r="AD78" s="100">
        <f t="shared" si="5"/>
        <v>0</v>
      </c>
    </row>
    <row r="79" spans="1:30" s="144" customFormat="1" ht="18" customHeight="1" x14ac:dyDescent="0.2">
      <c r="A79" s="48"/>
      <c r="B79" s="48"/>
      <c r="C79" s="48"/>
      <c r="D79" s="48"/>
      <c r="E79" s="48"/>
      <c r="F79" s="48"/>
      <c r="G79" s="48"/>
      <c r="H79" s="48"/>
      <c r="I79" s="48"/>
      <c r="J79" s="145"/>
      <c r="K79" s="145"/>
      <c r="L79" s="48"/>
      <c r="M79" s="136"/>
      <c r="N79" s="155"/>
      <c r="Q79" s="125"/>
      <c r="R79" s="125"/>
      <c r="S79" s="436"/>
      <c r="T79" s="436"/>
      <c r="U79" s="147"/>
      <c r="AC79" s="100">
        <v>79016</v>
      </c>
      <c r="AD79" s="100">
        <f t="shared" si="5"/>
        <v>0</v>
      </c>
    </row>
    <row r="80" spans="1:30" s="144" customFormat="1" ht="18" customHeight="1" x14ac:dyDescent="0.2">
      <c r="A80" s="48"/>
      <c r="B80" s="48"/>
      <c r="C80" s="48"/>
      <c r="D80" s="48"/>
      <c r="E80" s="48"/>
      <c r="F80" s="48"/>
      <c r="G80" s="48"/>
      <c r="H80" s="48"/>
      <c r="I80" s="48"/>
      <c r="J80" s="145"/>
      <c r="K80" s="145"/>
      <c r="L80" s="48"/>
      <c r="M80" s="136"/>
      <c r="N80" s="155"/>
      <c r="Q80" s="125"/>
      <c r="R80" s="125"/>
      <c r="S80" s="436"/>
      <c r="T80" s="436"/>
      <c r="U80" s="147"/>
      <c r="AC80" s="100">
        <v>79061</v>
      </c>
      <c r="AD80" s="100">
        <f t="shared" si="5"/>
        <v>0</v>
      </c>
    </row>
    <row r="81" spans="1:30" s="144" customFormat="1" ht="18" customHeight="1" x14ac:dyDescent="0.2">
      <c r="A81" s="48"/>
      <c r="B81" s="48"/>
      <c r="C81" s="48"/>
      <c r="D81" s="48"/>
      <c r="E81" s="48"/>
      <c r="F81" s="48"/>
      <c r="G81" s="48"/>
      <c r="H81" s="48"/>
      <c r="I81" s="48"/>
      <c r="J81" s="145"/>
      <c r="K81" s="145"/>
      <c r="L81" s="48"/>
      <c r="M81" s="136"/>
      <c r="N81" s="155"/>
      <c r="Q81" s="125"/>
      <c r="R81" s="125"/>
      <c r="S81" s="436"/>
      <c r="T81" s="436"/>
      <c r="U81" s="147"/>
      <c r="AC81" s="100">
        <v>79107</v>
      </c>
      <c r="AD81" s="100">
        <f t="shared" si="5"/>
        <v>0</v>
      </c>
    </row>
    <row r="82" spans="1:30" s="144" customFormat="1" ht="18" customHeight="1" x14ac:dyDescent="0.2">
      <c r="A82" s="48"/>
      <c r="B82" s="48"/>
      <c r="C82" s="48"/>
      <c r="D82" s="48"/>
      <c r="E82" s="48"/>
      <c r="F82" s="48"/>
      <c r="G82" s="48"/>
      <c r="H82" s="48"/>
      <c r="I82" s="48"/>
      <c r="J82" s="145"/>
      <c r="K82" s="145"/>
      <c r="L82" s="48"/>
      <c r="M82" s="136"/>
      <c r="N82" s="155"/>
      <c r="Q82" s="125"/>
      <c r="R82" s="125"/>
      <c r="S82" s="436"/>
      <c r="T82" s="436"/>
      <c r="U82" s="147"/>
      <c r="AC82" s="100">
        <v>79118</v>
      </c>
      <c r="AD82" s="100">
        <f t="shared" si="5"/>
        <v>0</v>
      </c>
    </row>
    <row r="83" spans="1:30" s="144" customFormat="1" ht="18" customHeight="1" x14ac:dyDescent="0.2">
      <c r="A83" s="48"/>
      <c r="B83" s="48"/>
      <c r="C83" s="48"/>
      <c r="D83" s="48"/>
      <c r="E83" s="48"/>
      <c r="F83" s="48"/>
      <c r="G83" s="48"/>
      <c r="H83" s="48"/>
      <c r="I83" s="48"/>
      <c r="J83" s="145"/>
      <c r="K83" s="145"/>
      <c r="L83" s="48"/>
      <c r="M83" s="136"/>
      <c r="N83" s="155"/>
      <c r="Q83" s="125"/>
      <c r="R83" s="125"/>
      <c r="S83" s="436"/>
      <c r="T83" s="436"/>
      <c r="U83" s="147"/>
      <c r="AC83" s="100">
        <v>79345</v>
      </c>
      <c r="AD83" s="100">
        <f t="shared" si="5"/>
        <v>0</v>
      </c>
    </row>
    <row r="84" spans="1:30" s="144" customFormat="1" ht="18" customHeight="1" x14ac:dyDescent="0.2">
      <c r="A84" s="48"/>
      <c r="B84" s="48"/>
      <c r="C84" s="48"/>
      <c r="D84" s="48"/>
      <c r="E84" s="48"/>
      <c r="F84" s="48"/>
      <c r="G84" s="48"/>
      <c r="H84" s="48"/>
      <c r="I84" s="48"/>
      <c r="J84" s="145"/>
      <c r="K84" s="145"/>
      <c r="L84" s="48"/>
      <c r="M84" s="136"/>
      <c r="N84" s="155"/>
      <c r="Q84" s="125"/>
      <c r="R84" s="125"/>
      <c r="S84" s="436"/>
      <c r="T84" s="436"/>
      <c r="U84" s="147"/>
      <c r="AC84" s="100">
        <v>79447</v>
      </c>
      <c r="AD84" s="100">
        <f t="shared" si="5"/>
        <v>0</v>
      </c>
    </row>
    <row r="85" spans="1:30" s="144" customFormat="1" ht="18" customHeight="1" x14ac:dyDescent="0.2">
      <c r="A85" s="48"/>
      <c r="B85" s="48"/>
      <c r="C85" s="48"/>
      <c r="D85" s="48"/>
      <c r="E85" s="48"/>
      <c r="F85" s="48"/>
      <c r="G85" s="48"/>
      <c r="H85" s="48"/>
      <c r="I85" s="48"/>
      <c r="J85" s="145"/>
      <c r="K85" s="145"/>
      <c r="L85" s="48"/>
      <c r="M85" s="136"/>
      <c r="N85" s="155"/>
      <c r="Q85" s="125"/>
      <c r="R85" s="125"/>
      <c r="S85" s="436"/>
      <c r="T85" s="436"/>
      <c r="U85" s="147"/>
      <c r="AC85" s="100">
        <v>79469</v>
      </c>
      <c r="AD85" s="100">
        <f t="shared" si="5"/>
        <v>0</v>
      </c>
    </row>
    <row r="86" spans="1:30" s="144" customFormat="1" ht="18" customHeight="1" x14ac:dyDescent="0.2">
      <c r="A86" s="48"/>
      <c r="B86" s="48"/>
      <c r="C86" s="48"/>
      <c r="D86" s="48"/>
      <c r="E86" s="48"/>
      <c r="F86" s="48"/>
      <c r="G86" s="48"/>
      <c r="H86" s="48"/>
      <c r="I86" s="48"/>
      <c r="J86" s="145"/>
      <c r="K86" s="145"/>
      <c r="L86" s="48"/>
      <c r="M86" s="136"/>
      <c r="N86" s="155"/>
      <c r="Q86" s="125"/>
      <c r="R86" s="125"/>
      <c r="S86" s="436"/>
      <c r="T86" s="436"/>
      <c r="U86" s="147"/>
      <c r="AC86" s="100">
        <v>80626</v>
      </c>
      <c r="AD86" s="100">
        <f t="shared" si="5"/>
        <v>0</v>
      </c>
    </row>
    <row r="87" spans="1:30" s="144" customFormat="1" ht="18" customHeight="1" x14ac:dyDescent="0.2">
      <c r="A87" s="48"/>
      <c r="B87" s="48"/>
      <c r="C87" s="48"/>
      <c r="D87" s="48"/>
      <c r="E87" s="48"/>
      <c r="F87" s="48"/>
      <c r="G87" s="48"/>
      <c r="H87" s="48"/>
      <c r="I87" s="48"/>
      <c r="J87" s="145"/>
      <c r="K87" s="145"/>
      <c r="L87" s="48"/>
      <c r="M87" s="136"/>
      <c r="N87" s="155"/>
      <c r="Q87" s="125"/>
      <c r="R87" s="125"/>
      <c r="S87" s="436"/>
      <c r="T87" s="436"/>
      <c r="U87" s="147"/>
      <c r="AC87" s="100">
        <v>82688</v>
      </c>
      <c r="AD87" s="100">
        <f t="shared" si="5"/>
        <v>0</v>
      </c>
    </row>
    <row r="88" spans="1:30" s="144" customFormat="1" ht="18" customHeight="1" x14ac:dyDescent="0.2">
      <c r="A88" s="48"/>
      <c r="B88" s="48"/>
      <c r="C88" s="48"/>
      <c r="D88" s="48"/>
      <c r="E88" s="48"/>
      <c r="F88" s="48"/>
      <c r="G88" s="48"/>
      <c r="H88" s="48"/>
      <c r="I88" s="48"/>
      <c r="J88" s="145"/>
      <c r="K88" s="145"/>
      <c r="L88" s="48"/>
      <c r="M88" s="136"/>
      <c r="N88" s="155"/>
      <c r="Q88" s="125"/>
      <c r="R88" s="125"/>
      <c r="S88" s="436"/>
      <c r="T88" s="436"/>
      <c r="U88" s="147"/>
      <c r="AC88" s="100">
        <v>84742</v>
      </c>
      <c r="AD88" s="100">
        <f t="shared" si="5"/>
        <v>0</v>
      </c>
    </row>
    <row r="89" spans="1:30" s="144" customFormat="1" ht="18" customHeight="1" x14ac:dyDescent="0.2">
      <c r="A89" s="48"/>
      <c r="B89" s="48"/>
      <c r="C89" s="48"/>
      <c r="D89" s="48"/>
      <c r="E89" s="48"/>
      <c r="F89" s="48"/>
      <c r="G89" s="48"/>
      <c r="H89" s="48"/>
      <c r="I89" s="48"/>
      <c r="J89" s="145"/>
      <c r="K89" s="145"/>
      <c r="L89" s="48"/>
      <c r="M89" s="136"/>
      <c r="N89" s="155"/>
      <c r="Q89" s="125"/>
      <c r="R89" s="125"/>
      <c r="S89" s="436"/>
      <c r="T89" s="436"/>
      <c r="U89" s="147"/>
      <c r="AC89" s="100">
        <v>85449</v>
      </c>
      <c r="AD89" s="100">
        <f t="shared" si="5"/>
        <v>0</v>
      </c>
    </row>
    <row r="90" spans="1:30" s="144" customFormat="1" ht="18" customHeight="1" x14ac:dyDescent="0.2">
      <c r="A90" s="48"/>
      <c r="B90" s="48"/>
      <c r="C90" s="48"/>
      <c r="D90" s="48"/>
      <c r="E90" s="48"/>
      <c r="F90" s="48"/>
      <c r="G90" s="48"/>
      <c r="H90" s="48"/>
      <c r="I90" s="48"/>
      <c r="J90" s="145"/>
      <c r="K90" s="145"/>
      <c r="L90" s="48"/>
      <c r="M90" s="136"/>
      <c r="N90" s="155"/>
      <c r="Q90" s="125"/>
      <c r="R90" s="125"/>
      <c r="S90" s="436"/>
      <c r="T90" s="436"/>
      <c r="U90" s="147"/>
      <c r="AC90" s="100">
        <v>87683</v>
      </c>
      <c r="AD90" s="100">
        <f t="shared" si="5"/>
        <v>0</v>
      </c>
    </row>
    <row r="91" spans="1:30" s="144" customFormat="1" ht="18" customHeight="1" x14ac:dyDescent="0.2">
      <c r="A91" s="48"/>
      <c r="B91" s="48"/>
      <c r="C91" s="48"/>
      <c r="D91" s="48"/>
      <c r="E91" s="48"/>
      <c r="F91" s="48"/>
      <c r="G91" s="48"/>
      <c r="H91" s="48"/>
      <c r="I91" s="48"/>
      <c r="J91" s="145"/>
      <c r="K91" s="145"/>
      <c r="L91" s="48"/>
      <c r="M91" s="136"/>
      <c r="N91" s="155"/>
      <c r="Q91" s="125"/>
      <c r="R91" s="125"/>
      <c r="S91" s="436"/>
      <c r="T91" s="436"/>
      <c r="U91" s="147"/>
      <c r="AC91" s="100">
        <v>87865</v>
      </c>
      <c r="AD91" s="100">
        <f t="shared" si="5"/>
        <v>0</v>
      </c>
    </row>
    <row r="92" spans="1:30" s="144" customFormat="1" ht="18" customHeight="1" x14ac:dyDescent="0.2">
      <c r="A92" s="48"/>
      <c r="B92" s="48"/>
      <c r="C92" s="48"/>
      <c r="D92" s="48"/>
      <c r="E92" s="48"/>
      <c r="F92" s="48"/>
      <c r="G92" s="48"/>
      <c r="H92" s="48"/>
      <c r="I92" s="48"/>
      <c r="J92" s="145"/>
      <c r="K92" s="145"/>
      <c r="L92" s="48"/>
      <c r="M92" s="136"/>
      <c r="N92" s="155"/>
      <c r="Q92" s="125"/>
      <c r="R92" s="125"/>
      <c r="S92" s="436"/>
      <c r="T92" s="436"/>
      <c r="U92" s="147"/>
      <c r="AC92" s="100">
        <v>88062</v>
      </c>
      <c r="AD92" s="100">
        <f t="shared" si="5"/>
        <v>0</v>
      </c>
    </row>
    <row r="93" spans="1:30" s="144" customFormat="1" ht="18" customHeight="1" x14ac:dyDescent="0.2">
      <c r="A93" s="48"/>
      <c r="B93" s="48"/>
      <c r="C93" s="48"/>
      <c r="D93" s="48"/>
      <c r="E93" s="48"/>
      <c r="F93" s="48"/>
      <c r="G93" s="48"/>
      <c r="H93" s="48"/>
      <c r="I93" s="48"/>
      <c r="J93" s="145"/>
      <c r="K93" s="145"/>
      <c r="L93" s="48"/>
      <c r="M93" s="136"/>
      <c r="N93" s="155"/>
      <c r="Q93" s="125"/>
      <c r="R93" s="125"/>
      <c r="S93" s="436"/>
      <c r="T93" s="436"/>
      <c r="U93" s="147"/>
      <c r="AC93" s="100">
        <v>90040</v>
      </c>
      <c r="AD93" s="100">
        <f t="shared" ref="AD93:AD124" si="6">SUMIF($C$29:$C$60,AC93,$L$29:$L$60)</f>
        <v>0</v>
      </c>
    </row>
    <row r="94" spans="1:30" s="144" customFormat="1" ht="18" customHeight="1" x14ac:dyDescent="0.2">
      <c r="A94" s="48"/>
      <c r="B94" s="48"/>
      <c r="C94" s="48"/>
      <c r="D94" s="48"/>
      <c r="E94" s="48"/>
      <c r="F94" s="48"/>
      <c r="G94" s="48"/>
      <c r="H94" s="48"/>
      <c r="I94" s="48"/>
      <c r="J94" s="145"/>
      <c r="K94" s="145"/>
      <c r="L94" s="48"/>
      <c r="M94" s="136"/>
      <c r="N94" s="155"/>
      <c r="Q94" s="125"/>
      <c r="R94" s="125"/>
      <c r="S94" s="436"/>
      <c r="T94" s="436"/>
      <c r="U94" s="147"/>
      <c r="AC94" s="100">
        <v>91203</v>
      </c>
      <c r="AD94" s="100">
        <f t="shared" si="6"/>
        <v>0</v>
      </c>
    </row>
    <row r="95" spans="1:30" s="144" customFormat="1" ht="18" customHeight="1" x14ac:dyDescent="0.2">
      <c r="A95" s="48"/>
      <c r="B95" s="48"/>
      <c r="C95" s="48"/>
      <c r="D95" s="48"/>
      <c r="E95" s="48"/>
      <c r="F95" s="48"/>
      <c r="G95" s="48"/>
      <c r="H95" s="48"/>
      <c r="I95" s="48"/>
      <c r="J95" s="145"/>
      <c r="K95" s="145"/>
      <c r="L95" s="48"/>
      <c r="M95" s="136"/>
      <c r="N95" s="155"/>
      <c r="Q95" s="125"/>
      <c r="R95" s="125"/>
      <c r="S95" s="436"/>
      <c r="T95" s="436"/>
      <c r="U95" s="147"/>
      <c r="AC95" s="100">
        <v>91225</v>
      </c>
      <c r="AD95" s="100">
        <f t="shared" si="6"/>
        <v>0</v>
      </c>
    </row>
    <row r="96" spans="1:30" s="144" customFormat="1" ht="18" customHeight="1" x14ac:dyDescent="0.2">
      <c r="A96" s="48"/>
      <c r="B96" s="48"/>
      <c r="C96" s="48"/>
      <c r="D96" s="48"/>
      <c r="E96" s="48"/>
      <c r="F96" s="48"/>
      <c r="G96" s="48"/>
      <c r="H96" s="48"/>
      <c r="I96" s="48"/>
      <c r="J96" s="145"/>
      <c r="K96" s="145"/>
      <c r="L96" s="48"/>
      <c r="M96" s="136"/>
      <c r="N96" s="155"/>
      <c r="Q96" s="125"/>
      <c r="R96" s="125"/>
      <c r="S96" s="436"/>
      <c r="T96" s="436"/>
      <c r="U96" s="147"/>
      <c r="AC96" s="100">
        <v>91941</v>
      </c>
      <c r="AD96" s="100">
        <f t="shared" si="6"/>
        <v>0</v>
      </c>
    </row>
    <row r="97" spans="1:30" s="144" customFormat="1" ht="18" customHeight="1" x14ac:dyDescent="0.2">
      <c r="A97" s="48"/>
      <c r="B97" s="48"/>
      <c r="C97" s="48"/>
      <c r="D97" s="48"/>
      <c r="E97" s="48"/>
      <c r="F97" s="48"/>
      <c r="G97" s="48"/>
      <c r="H97" s="48"/>
      <c r="I97" s="48"/>
      <c r="J97" s="145"/>
      <c r="K97" s="145"/>
      <c r="L97" s="48"/>
      <c r="M97" s="136"/>
      <c r="N97" s="155"/>
      <c r="Q97" s="125"/>
      <c r="R97" s="125"/>
      <c r="S97" s="436"/>
      <c r="T97" s="436"/>
      <c r="U97" s="147"/>
      <c r="AC97" s="100">
        <v>92524</v>
      </c>
      <c r="AD97" s="100">
        <f t="shared" si="6"/>
        <v>0</v>
      </c>
    </row>
    <row r="98" spans="1:30" s="144" customFormat="1" ht="18" customHeight="1" x14ac:dyDescent="0.2">
      <c r="A98" s="48"/>
      <c r="B98" s="48"/>
      <c r="C98" s="48"/>
      <c r="D98" s="48"/>
      <c r="E98" s="48"/>
      <c r="F98" s="48"/>
      <c r="G98" s="48"/>
      <c r="H98" s="48"/>
      <c r="I98" s="48"/>
      <c r="J98" s="145"/>
      <c r="K98" s="145"/>
      <c r="L98" s="48"/>
      <c r="M98" s="136"/>
      <c r="N98" s="155"/>
      <c r="Q98" s="125"/>
      <c r="R98" s="125"/>
      <c r="S98" s="436"/>
      <c r="T98" s="436"/>
      <c r="U98" s="147"/>
      <c r="AC98" s="100">
        <v>92671</v>
      </c>
      <c r="AD98" s="100">
        <f t="shared" si="6"/>
        <v>0</v>
      </c>
    </row>
    <row r="99" spans="1:30" s="144" customFormat="1" ht="18" customHeight="1" x14ac:dyDescent="0.2">
      <c r="A99" s="48"/>
      <c r="B99" s="48"/>
      <c r="C99" s="48"/>
      <c r="D99" s="48"/>
      <c r="E99" s="48"/>
      <c r="F99" s="48"/>
      <c r="G99" s="48"/>
      <c r="H99" s="48"/>
      <c r="I99" s="48"/>
      <c r="J99" s="145"/>
      <c r="K99" s="145"/>
      <c r="L99" s="48"/>
      <c r="M99" s="136"/>
      <c r="N99" s="155"/>
      <c r="Q99" s="125"/>
      <c r="R99" s="125"/>
      <c r="S99" s="436"/>
      <c r="T99" s="436"/>
      <c r="U99" s="147"/>
      <c r="AC99" s="100">
        <v>92875</v>
      </c>
      <c r="AD99" s="100">
        <f t="shared" si="6"/>
        <v>0</v>
      </c>
    </row>
    <row r="100" spans="1:30" s="144" customFormat="1" ht="18" customHeight="1" x14ac:dyDescent="0.2">
      <c r="A100" s="48"/>
      <c r="B100" s="48"/>
      <c r="C100" s="48"/>
      <c r="D100" s="48"/>
      <c r="E100" s="48"/>
      <c r="F100" s="48"/>
      <c r="G100" s="48"/>
      <c r="H100" s="48"/>
      <c r="I100" s="48"/>
      <c r="J100" s="145"/>
      <c r="K100" s="145"/>
      <c r="L100" s="48"/>
      <c r="M100" s="136"/>
      <c r="N100" s="155"/>
      <c r="Q100" s="125"/>
      <c r="R100" s="125"/>
      <c r="S100" s="436"/>
      <c r="T100" s="436"/>
      <c r="U100" s="147"/>
      <c r="AC100" s="100">
        <v>92933</v>
      </c>
      <c r="AD100" s="100">
        <f t="shared" si="6"/>
        <v>0</v>
      </c>
    </row>
    <row r="101" spans="1:30" s="144" customFormat="1" ht="18" customHeight="1" x14ac:dyDescent="0.2">
      <c r="A101" s="48"/>
      <c r="B101" s="48"/>
      <c r="C101" s="48"/>
      <c r="D101" s="48"/>
      <c r="E101" s="48"/>
      <c r="F101" s="48"/>
      <c r="G101" s="48"/>
      <c r="H101" s="48"/>
      <c r="I101" s="48"/>
      <c r="J101" s="145"/>
      <c r="K101" s="145"/>
      <c r="L101" s="48"/>
      <c r="M101" s="136"/>
      <c r="N101" s="155"/>
      <c r="Q101" s="125"/>
      <c r="R101" s="125"/>
      <c r="S101" s="436"/>
      <c r="T101" s="436"/>
      <c r="U101" s="147"/>
      <c r="AC101" s="100">
        <v>94757</v>
      </c>
      <c r="AD101" s="100">
        <f t="shared" si="6"/>
        <v>0</v>
      </c>
    </row>
    <row r="102" spans="1:30" s="144" customFormat="1" ht="18" customHeight="1" x14ac:dyDescent="0.2">
      <c r="A102" s="48"/>
      <c r="B102" s="48"/>
      <c r="C102" s="48"/>
      <c r="D102" s="48"/>
      <c r="E102" s="48"/>
      <c r="F102" s="48"/>
      <c r="G102" s="48"/>
      <c r="H102" s="48"/>
      <c r="I102" s="48"/>
      <c r="J102" s="145"/>
      <c r="K102" s="145"/>
      <c r="L102" s="48"/>
      <c r="M102" s="136"/>
      <c r="N102" s="155"/>
      <c r="Q102" s="125"/>
      <c r="R102" s="125"/>
      <c r="S102" s="436"/>
      <c r="T102" s="436"/>
      <c r="U102" s="147"/>
      <c r="AC102" s="100">
        <v>95476</v>
      </c>
      <c r="AD102" s="100">
        <f t="shared" si="6"/>
        <v>0</v>
      </c>
    </row>
    <row r="103" spans="1:30" s="144" customFormat="1" ht="18" customHeight="1" x14ac:dyDescent="0.2">
      <c r="A103" s="48"/>
      <c r="B103" s="48"/>
      <c r="C103" s="48"/>
      <c r="D103" s="48"/>
      <c r="E103" s="48"/>
      <c r="F103" s="48"/>
      <c r="G103" s="48"/>
      <c r="H103" s="48"/>
      <c r="I103" s="48"/>
      <c r="J103" s="145"/>
      <c r="K103" s="145"/>
      <c r="L103" s="48"/>
      <c r="M103" s="136"/>
      <c r="N103" s="155"/>
      <c r="Q103" s="125"/>
      <c r="R103" s="125"/>
      <c r="S103" s="436"/>
      <c r="T103" s="436"/>
      <c r="U103" s="147"/>
      <c r="AC103" s="100">
        <v>95487</v>
      </c>
      <c r="AD103" s="100">
        <f t="shared" si="6"/>
        <v>0</v>
      </c>
    </row>
    <row r="104" spans="1:30" s="144" customFormat="1" ht="18" customHeight="1" x14ac:dyDescent="0.2">
      <c r="A104" s="48"/>
      <c r="B104" s="48"/>
      <c r="C104" s="48"/>
      <c r="D104" s="48"/>
      <c r="E104" s="48"/>
      <c r="F104" s="48"/>
      <c r="G104" s="48"/>
      <c r="H104" s="48"/>
      <c r="I104" s="48"/>
      <c r="J104" s="145"/>
      <c r="K104" s="145"/>
      <c r="L104" s="48"/>
      <c r="M104" s="136"/>
      <c r="N104" s="155"/>
      <c r="Q104" s="125"/>
      <c r="R104" s="125"/>
      <c r="S104" s="436"/>
      <c r="T104" s="436"/>
      <c r="U104" s="147"/>
      <c r="AC104" s="100">
        <v>95534</v>
      </c>
      <c r="AD104" s="100">
        <f t="shared" si="6"/>
        <v>0</v>
      </c>
    </row>
    <row r="105" spans="1:30" s="144" customFormat="1" ht="18" customHeight="1" x14ac:dyDescent="0.2">
      <c r="A105" s="48"/>
      <c r="B105" s="48"/>
      <c r="C105" s="48"/>
      <c r="D105" s="48"/>
      <c r="E105" s="48"/>
      <c r="F105" s="48"/>
      <c r="G105" s="48"/>
      <c r="H105" s="48"/>
      <c r="I105" s="48"/>
      <c r="J105" s="145"/>
      <c r="K105" s="145"/>
      <c r="L105" s="48"/>
      <c r="M105" s="136"/>
      <c r="N105" s="155"/>
      <c r="Q105" s="125"/>
      <c r="R105" s="125"/>
      <c r="S105" s="436"/>
      <c r="T105" s="436"/>
      <c r="U105" s="147"/>
      <c r="AC105" s="100">
        <v>95807</v>
      </c>
      <c r="AD105" s="100">
        <f t="shared" si="6"/>
        <v>0</v>
      </c>
    </row>
    <row r="106" spans="1:30" s="144" customFormat="1" ht="18" customHeight="1" x14ac:dyDescent="0.2">
      <c r="A106" s="48"/>
      <c r="B106" s="48"/>
      <c r="C106" s="48"/>
      <c r="D106" s="48"/>
      <c r="E106" s="48"/>
      <c r="F106" s="48"/>
      <c r="G106" s="48"/>
      <c r="H106" s="48"/>
      <c r="I106" s="48"/>
      <c r="J106" s="145"/>
      <c r="K106" s="145"/>
      <c r="L106" s="48"/>
      <c r="M106" s="136"/>
      <c r="N106" s="155"/>
      <c r="Q106" s="125"/>
      <c r="R106" s="125"/>
      <c r="S106" s="436"/>
      <c r="T106" s="436"/>
      <c r="U106" s="147"/>
      <c r="AC106" s="100">
        <v>95954</v>
      </c>
      <c r="AD106" s="100">
        <f t="shared" si="6"/>
        <v>0</v>
      </c>
    </row>
    <row r="107" spans="1:30" s="144" customFormat="1" ht="18" customHeight="1" x14ac:dyDescent="0.2">
      <c r="A107" s="48"/>
      <c r="B107" s="48"/>
      <c r="C107" s="48"/>
      <c r="D107" s="48"/>
      <c r="E107" s="48"/>
      <c r="F107" s="48"/>
      <c r="G107" s="48"/>
      <c r="H107" s="48"/>
      <c r="I107" s="48"/>
      <c r="J107" s="145"/>
      <c r="K107" s="145"/>
      <c r="L107" s="48"/>
      <c r="M107" s="136"/>
      <c r="N107" s="155"/>
      <c r="Q107" s="125"/>
      <c r="R107" s="125"/>
      <c r="S107" s="436"/>
      <c r="T107" s="436"/>
      <c r="U107" s="147"/>
      <c r="AC107" s="100">
        <v>96093</v>
      </c>
      <c r="AD107" s="100">
        <f t="shared" si="6"/>
        <v>0</v>
      </c>
    </row>
    <row r="108" spans="1:30" s="144" customFormat="1" ht="18" customHeight="1" x14ac:dyDescent="0.2">
      <c r="A108" s="48"/>
      <c r="B108" s="48"/>
      <c r="C108" s="48"/>
      <c r="D108" s="48"/>
      <c r="E108" s="48"/>
      <c r="F108" s="48"/>
      <c r="G108" s="48"/>
      <c r="H108" s="48"/>
      <c r="I108" s="48"/>
      <c r="J108" s="145"/>
      <c r="K108" s="145"/>
      <c r="L108" s="48"/>
      <c r="M108" s="136"/>
      <c r="N108" s="155"/>
      <c r="Q108" s="125"/>
      <c r="R108" s="125"/>
      <c r="S108" s="436"/>
      <c r="T108" s="436"/>
      <c r="U108" s="147"/>
      <c r="AC108" s="100">
        <v>96128</v>
      </c>
      <c r="AD108" s="100">
        <f t="shared" si="6"/>
        <v>0</v>
      </c>
    </row>
    <row r="109" spans="1:30" s="144" customFormat="1" ht="18" customHeight="1" x14ac:dyDescent="0.2">
      <c r="A109" s="48"/>
      <c r="B109" s="48"/>
      <c r="C109" s="48"/>
      <c r="D109" s="48"/>
      <c r="E109" s="48"/>
      <c r="F109" s="48"/>
      <c r="G109" s="48"/>
      <c r="H109" s="48"/>
      <c r="I109" s="48"/>
      <c r="J109" s="145"/>
      <c r="K109" s="145"/>
      <c r="L109" s="48"/>
      <c r="M109" s="136"/>
      <c r="N109" s="155"/>
      <c r="Q109" s="125"/>
      <c r="R109" s="125"/>
      <c r="S109" s="436"/>
      <c r="T109" s="436"/>
      <c r="U109" s="147"/>
      <c r="AC109" s="100">
        <v>96457</v>
      </c>
      <c r="AD109" s="100">
        <f t="shared" si="6"/>
        <v>0</v>
      </c>
    </row>
    <row r="110" spans="1:30" s="144" customFormat="1" ht="18" customHeight="1" x14ac:dyDescent="0.2">
      <c r="A110" s="48"/>
      <c r="B110" s="48"/>
      <c r="C110" s="48"/>
      <c r="D110" s="48"/>
      <c r="E110" s="48"/>
      <c r="F110" s="48"/>
      <c r="G110" s="48"/>
      <c r="H110" s="48"/>
      <c r="I110" s="48"/>
      <c r="J110" s="145"/>
      <c r="K110" s="145"/>
      <c r="L110" s="48"/>
      <c r="M110" s="136"/>
      <c r="N110" s="155"/>
      <c r="Q110" s="125"/>
      <c r="R110" s="125"/>
      <c r="S110" s="436"/>
      <c r="T110" s="436"/>
      <c r="U110" s="147"/>
      <c r="AC110" s="100">
        <v>98077</v>
      </c>
      <c r="AD110" s="100">
        <f t="shared" si="6"/>
        <v>0</v>
      </c>
    </row>
    <row r="111" spans="1:30" s="144" customFormat="1" ht="18" customHeight="1" x14ac:dyDescent="0.2">
      <c r="A111" s="48"/>
      <c r="B111" s="48"/>
      <c r="C111" s="48"/>
      <c r="D111" s="48"/>
      <c r="E111" s="48"/>
      <c r="F111" s="48"/>
      <c r="G111" s="48"/>
      <c r="H111" s="48"/>
      <c r="I111" s="48"/>
      <c r="J111" s="145"/>
      <c r="K111" s="145"/>
      <c r="L111" s="48"/>
      <c r="M111" s="136"/>
      <c r="N111" s="155"/>
      <c r="Q111" s="125"/>
      <c r="R111" s="125"/>
      <c r="S111" s="436"/>
      <c r="T111" s="436"/>
      <c r="U111" s="147"/>
      <c r="AC111" s="100">
        <v>98828</v>
      </c>
      <c r="AD111" s="100">
        <f t="shared" si="6"/>
        <v>0</v>
      </c>
    </row>
    <row r="112" spans="1:30" s="144" customFormat="1" ht="18" customHeight="1" x14ac:dyDescent="0.2">
      <c r="A112" s="48"/>
      <c r="B112" s="48"/>
      <c r="C112" s="48"/>
      <c r="D112" s="48"/>
      <c r="E112" s="48"/>
      <c r="F112" s="48"/>
      <c r="G112" s="48"/>
      <c r="H112" s="48"/>
      <c r="I112" s="48"/>
      <c r="J112" s="145"/>
      <c r="K112" s="145"/>
      <c r="L112" s="48"/>
      <c r="M112" s="136"/>
      <c r="N112" s="155"/>
      <c r="Q112" s="125"/>
      <c r="R112" s="125"/>
      <c r="S112" s="436"/>
      <c r="T112" s="436"/>
      <c r="U112" s="147"/>
      <c r="AC112" s="100">
        <v>98862</v>
      </c>
      <c r="AD112" s="100">
        <f t="shared" si="6"/>
        <v>0</v>
      </c>
    </row>
    <row r="113" spans="1:30" s="144" customFormat="1" ht="18" customHeight="1" x14ac:dyDescent="0.2">
      <c r="A113" s="48"/>
      <c r="B113" s="48"/>
      <c r="C113" s="48"/>
      <c r="D113" s="48"/>
      <c r="E113" s="48"/>
      <c r="F113" s="48"/>
      <c r="G113" s="48"/>
      <c r="H113" s="48"/>
      <c r="I113" s="48"/>
      <c r="J113" s="145"/>
      <c r="K113" s="145"/>
      <c r="L113" s="48"/>
      <c r="M113" s="136"/>
      <c r="N113" s="155"/>
      <c r="Q113" s="125"/>
      <c r="R113" s="125"/>
      <c r="S113" s="436"/>
      <c r="T113" s="436"/>
      <c r="U113" s="147"/>
      <c r="AC113" s="100">
        <v>98953</v>
      </c>
      <c r="AD113" s="100">
        <f t="shared" si="6"/>
        <v>0</v>
      </c>
    </row>
    <row r="114" spans="1:30" s="144" customFormat="1" ht="18" customHeight="1" x14ac:dyDescent="0.2">
      <c r="A114" s="48"/>
      <c r="B114" s="48"/>
      <c r="C114" s="48"/>
      <c r="D114" s="48"/>
      <c r="E114" s="48"/>
      <c r="F114" s="48"/>
      <c r="G114" s="48"/>
      <c r="H114" s="48"/>
      <c r="I114" s="48"/>
      <c r="J114" s="145"/>
      <c r="K114" s="145"/>
      <c r="L114" s="48"/>
      <c r="M114" s="136"/>
      <c r="N114" s="155"/>
      <c r="Q114" s="125"/>
      <c r="R114" s="125"/>
      <c r="S114" s="436"/>
      <c r="T114" s="436"/>
      <c r="U114" s="147"/>
      <c r="AC114" s="100">
        <v>100027</v>
      </c>
      <c r="AD114" s="100">
        <f t="shared" si="6"/>
        <v>0</v>
      </c>
    </row>
    <row r="115" spans="1:30" s="144" customFormat="1" ht="18" customHeight="1" x14ac:dyDescent="0.2">
      <c r="A115" s="48"/>
      <c r="B115" s="48"/>
      <c r="C115" s="48"/>
      <c r="D115" s="48"/>
      <c r="E115" s="48"/>
      <c r="F115" s="48"/>
      <c r="G115" s="48"/>
      <c r="H115" s="48"/>
      <c r="I115" s="48"/>
      <c r="J115" s="145"/>
      <c r="K115" s="145"/>
      <c r="L115" s="48"/>
      <c r="M115" s="136"/>
      <c r="N115" s="155"/>
      <c r="Q115" s="125"/>
      <c r="R115" s="125"/>
      <c r="S115" s="436"/>
      <c r="T115" s="436"/>
      <c r="U115" s="147"/>
      <c r="AC115" s="100">
        <v>100414</v>
      </c>
      <c r="AD115" s="100">
        <f t="shared" si="6"/>
        <v>0</v>
      </c>
    </row>
    <row r="116" spans="1:30" s="144" customFormat="1" ht="18" customHeight="1" x14ac:dyDescent="0.2">
      <c r="A116" s="48"/>
      <c r="B116" s="48"/>
      <c r="C116" s="48"/>
      <c r="D116" s="48"/>
      <c r="E116" s="48"/>
      <c r="F116" s="48"/>
      <c r="G116" s="48"/>
      <c r="H116" s="48"/>
      <c r="I116" s="48"/>
      <c r="J116" s="145"/>
      <c r="K116" s="145"/>
      <c r="L116" s="48"/>
      <c r="M116" s="136"/>
      <c r="N116" s="155"/>
      <c r="Q116" s="125"/>
      <c r="R116" s="125"/>
      <c r="S116" s="436"/>
      <c r="T116" s="436"/>
      <c r="U116" s="147"/>
      <c r="AC116" s="100">
        <v>100425</v>
      </c>
      <c r="AD116" s="100">
        <f t="shared" si="6"/>
        <v>0</v>
      </c>
    </row>
    <row r="117" spans="1:30" s="144" customFormat="1" ht="18" customHeight="1" x14ac:dyDescent="0.2">
      <c r="A117" s="48"/>
      <c r="B117" s="48"/>
      <c r="C117" s="48"/>
      <c r="D117" s="48"/>
      <c r="E117" s="48"/>
      <c r="F117" s="48"/>
      <c r="G117" s="48"/>
      <c r="H117" s="48"/>
      <c r="I117" s="48"/>
      <c r="J117" s="145"/>
      <c r="K117" s="145"/>
      <c r="L117" s="48"/>
      <c r="M117" s="136"/>
      <c r="N117" s="155"/>
      <c r="Q117" s="125"/>
      <c r="R117" s="125"/>
      <c r="S117" s="436"/>
      <c r="T117" s="436"/>
      <c r="U117" s="147"/>
      <c r="AC117" s="100">
        <v>100447</v>
      </c>
      <c r="AD117" s="100">
        <f t="shared" si="6"/>
        <v>0</v>
      </c>
    </row>
    <row r="118" spans="1:30" s="144" customFormat="1" ht="18" customHeight="1" x14ac:dyDescent="0.2">
      <c r="A118" s="48"/>
      <c r="B118" s="48"/>
      <c r="C118" s="48"/>
      <c r="D118" s="48"/>
      <c r="E118" s="48"/>
      <c r="F118" s="48"/>
      <c r="G118" s="48"/>
      <c r="H118" s="48"/>
      <c r="I118" s="48"/>
      <c r="J118" s="145"/>
      <c r="K118" s="145"/>
      <c r="L118" s="48"/>
      <c r="M118" s="136"/>
      <c r="N118" s="155"/>
      <c r="Q118" s="125"/>
      <c r="R118" s="125"/>
      <c r="S118" s="436"/>
      <c r="T118" s="436"/>
      <c r="U118" s="147"/>
      <c r="AC118" s="100">
        <v>101144</v>
      </c>
      <c r="AD118" s="100">
        <f t="shared" si="6"/>
        <v>0</v>
      </c>
    </row>
    <row r="119" spans="1:30" s="144" customFormat="1" ht="18" customHeight="1" x14ac:dyDescent="0.2">
      <c r="A119" s="48"/>
      <c r="B119" s="48"/>
      <c r="C119" s="48"/>
      <c r="D119" s="48"/>
      <c r="E119" s="48"/>
      <c r="F119" s="48"/>
      <c r="G119" s="48"/>
      <c r="H119" s="48"/>
      <c r="I119" s="48"/>
      <c r="J119" s="145"/>
      <c r="K119" s="145"/>
      <c r="L119" s="48"/>
      <c r="M119" s="136"/>
      <c r="N119" s="155"/>
      <c r="Q119" s="125"/>
      <c r="R119" s="125"/>
      <c r="S119" s="436"/>
      <c r="T119" s="436"/>
      <c r="U119" s="147"/>
      <c r="AC119" s="100">
        <v>101688</v>
      </c>
      <c r="AD119" s="100">
        <f t="shared" si="6"/>
        <v>0</v>
      </c>
    </row>
    <row r="120" spans="1:30" s="144" customFormat="1" ht="18" customHeight="1" x14ac:dyDescent="0.2">
      <c r="A120" s="48"/>
      <c r="B120" s="48"/>
      <c r="C120" s="48"/>
      <c r="D120" s="48"/>
      <c r="E120" s="48"/>
      <c r="F120" s="48"/>
      <c r="G120" s="48"/>
      <c r="H120" s="48"/>
      <c r="I120" s="48"/>
      <c r="J120" s="145"/>
      <c r="K120" s="145"/>
      <c r="L120" s="48"/>
      <c r="M120" s="136"/>
      <c r="N120" s="155"/>
      <c r="Q120" s="125"/>
      <c r="R120" s="125"/>
      <c r="S120" s="436"/>
      <c r="T120" s="436"/>
      <c r="U120" s="147"/>
      <c r="AC120" s="100">
        <v>101779</v>
      </c>
      <c r="AD120" s="100">
        <f t="shared" si="6"/>
        <v>0</v>
      </c>
    </row>
    <row r="121" spans="1:30" s="144" customFormat="1" ht="18" customHeight="1" x14ac:dyDescent="0.2">
      <c r="A121" s="48"/>
      <c r="B121" s="48"/>
      <c r="C121" s="48"/>
      <c r="D121" s="48"/>
      <c r="E121" s="48"/>
      <c r="F121" s="48"/>
      <c r="G121" s="48"/>
      <c r="H121" s="48"/>
      <c r="I121" s="48"/>
      <c r="J121" s="145"/>
      <c r="K121" s="145"/>
      <c r="L121" s="48"/>
      <c r="M121" s="136"/>
      <c r="N121" s="155"/>
      <c r="Q121" s="125"/>
      <c r="R121" s="125"/>
      <c r="S121" s="436"/>
      <c r="T121" s="436"/>
      <c r="U121" s="147"/>
      <c r="AC121" s="100">
        <v>106423</v>
      </c>
      <c r="AD121" s="100">
        <f t="shared" si="6"/>
        <v>0</v>
      </c>
    </row>
    <row r="122" spans="1:30" s="144" customFormat="1" ht="18" customHeight="1" x14ac:dyDescent="0.2">
      <c r="A122" s="48"/>
      <c r="B122" s="48"/>
      <c r="C122" s="48"/>
      <c r="D122" s="48"/>
      <c r="E122" s="48"/>
      <c r="F122" s="48"/>
      <c r="G122" s="48"/>
      <c r="H122" s="48"/>
      <c r="I122" s="48"/>
      <c r="J122" s="145"/>
      <c r="K122" s="145"/>
      <c r="L122" s="48"/>
      <c r="M122" s="136"/>
      <c r="N122" s="155"/>
      <c r="Q122" s="125"/>
      <c r="R122" s="125"/>
      <c r="S122" s="436"/>
      <c r="T122" s="436"/>
      <c r="U122" s="147"/>
      <c r="AC122" s="100">
        <v>106445</v>
      </c>
      <c r="AD122" s="100">
        <f t="shared" si="6"/>
        <v>0</v>
      </c>
    </row>
    <row r="123" spans="1:30" s="144" customFormat="1" ht="18" customHeight="1" x14ac:dyDescent="0.2">
      <c r="A123" s="48"/>
      <c r="B123" s="48"/>
      <c r="C123" s="48"/>
      <c r="D123" s="48"/>
      <c r="E123" s="48"/>
      <c r="F123" s="48"/>
      <c r="G123" s="48"/>
      <c r="H123" s="48"/>
      <c r="I123" s="48"/>
      <c r="J123" s="145"/>
      <c r="K123" s="145"/>
      <c r="L123" s="48"/>
      <c r="M123" s="136"/>
      <c r="N123" s="155"/>
      <c r="Q123" s="125"/>
      <c r="R123" s="125"/>
      <c r="S123" s="436"/>
      <c r="T123" s="436"/>
      <c r="U123" s="147"/>
      <c r="AC123" s="100">
        <v>106467</v>
      </c>
      <c r="AD123" s="100">
        <f t="shared" si="6"/>
        <v>0</v>
      </c>
    </row>
    <row r="124" spans="1:30" s="144" customFormat="1" ht="18" customHeight="1" x14ac:dyDescent="0.2">
      <c r="A124" s="48"/>
      <c r="B124" s="48"/>
      <c r="C124" s="48"/>
      <c r="D124" s="48"/>
      <c r="E124" s="48"/>
      <c r="F124" s="48"/>
      <c r="G124" s="48"/>
      <c r="H124" s="48"/>
      <c r="I124" s="48"/>
      <c r="J124" s="145"/>
      <c r="K124" s="145"/>
      <c r="L124" s="48"/>
      <c r="M124" s="136"/>
      <c r="N124" s="155"/>
      <c r="Q124" s="125"/>
      <c r="R124" s="125"/>
      <c r="S124" s="436"/>
      <c r="T124" s="436"/>
      <c r="U124" s="147"/>
      <c r="AC124" s="100">
        <v>106503</v>
      </c>
      <c r="AD124" s="100">
        <f t="shared" si="6"/>
        <v>0</v>
      </c>
    </row>
    <row r="125" spans="1:30" s="144" customFormat="1" ht="18" customHeight="1" x14ac:dyDescent="0.2">
      <c r="A125" s="48"/>
      <c r="B125" s="48"/>
      <c r="C125" s="48"/>
      <c r="D125" s="48"/>
      <c r="E125" s="48"/>
      <c r="F125" s="48"/>
      <c r="G125" s="48"/>
      <c r="H125" s="48"/>
      <c r="I125" s="48"/>
      <c r="J125" s="145"/>
      <c r="K125" s="145"/>
      <c r="L125" s="48"/>
      <c r="M125" s="136"/>
      <c r="N125" s="155"/>
      <c r="Q125" s="125"/>
      <c r="R125" s="125"/>
      <c r="S125" s="436"/>
      <c r="T125" s="436"/>
      <c r="U125" s="147"/>
      <c r="AC125" s="100">
        <v>106514</v>
      </c>
      <c r="AD125" s="100">
        <f t="shared" ref="AD125:AD156" si="7">SUMIF($C$29:$C$60,AC125,$L$29:$L$60)</f>
        <v>0</v>
      </c>
    </row>
    <row r="126" spans="1:30" s="144" customFormat="1" ht="18" customHeight="1" x14ac:dyDescent="0.2">
      <c r="A126" s="48"/>
      <c r="B126" s="48"/>
      <c r="C126" s="48"/>
      <c r="D126" s="48"/>
      <c r="E126" s="48"/>
      <c r="F126" s="48"/>
      <c r="G126" s="48"/>
      <c r="H126" s="48"/>
      <c r="I126" s="48"/>
      <c r="J126" s="145"/>
      <c r="K126" s="145"/>
      <c r="L126" s="48"/>
      <c r="M126" s="136"/>
      <c r="N126" s="155"/>
      <c r="Q126" s="125"/>
      <c r="R126" s="125"/>
      <c r="S126" s="436"/>
      <c r="T126" s="436"/>
      <c r="U126" s="147"/>
      <c r="AC126" s="100">
        <v>106887</v>
      </c>
      <c r="AD126" s="100">
        <f t="shared" si="7"/>
        <v>0</v>
      </c>
    </row>
    <row r="127" spans="1:30" s="144" customFormat="1" ht="18" customHeight="1" x14ac:dyDescent="0.2">
      <c r="A127" s="48"/>
      <c r="B127" s="48"/>
      <c r="C127" s="48"/>
      <c r="D127" s="48"/>
      <c r="E127" s="48"/>
      <c r="F127" s="48"/>
      <c r="G127" s="48"/>
      <c r="H127" s="48"/>
      <c r="I127" s="48"/>
      <c r="J127" s="145"/>
      <c r="K127" s="145"/>
      <c r="L127" s="48"/>
      <c r="M127" s="136"/>
      <c r="N127" s="155"/>
      <c r="Q127" s="125"/>
      <c r="R127" s="125"/>
      <c r="S127" s="436"/>
      <c r="T127" s="436"/>
      <c r="U127" s="147"/>
      <c r="AC127" s="100">
        <v>106898</v>
      </c>
      <c r="AD127" s="100">
        <f t="shared" si="7"/>
        <v>0</v>
      </c>
    </row>
    <row r="128" spans="1:30" s="144" customFormat="1" ht="18" customHeight="1" x14ac:dyDescent="0.2">
      <c r="A128" s="48"/>
      <c r="B128" s="48"/>
      <c r="C128" s="48"/>
      <c r="D128" s="48"/>
      <c r="E128" s="48"/>
      <c r="F128" s="48"/>
      <c r="G128" s="48"/>
      <c r="H128" s="48"/>
      <c r="I128" s="48"/>
      <c r="J128" s="145"/>
      <c r="K128" s="145"/>
      <c r="L128" s="48"/>
      <c r="M128" s="136"/>
      <c r="N128" s="155"/>
      <c r="Q128" s="125"/>
      <c r="R128" s="125"/>
      <c r="S128" s="436"/>
      <c r="T128" s="436"/>
      <c r="U128" s="147"/>
      <c r="AC128" s="100">
        <v>106934</v>
      </c>
      <c r="AD128" s="100">
        <f t="shared" si="7"/>
        <v>0</v>
      </c>
    </row>
    <row r="129" spans="1:30" s="144" customFormat="1" ht="18" customHeight="1" x14ac:dyDescent="0.2">
      <c r="A129" s="48"/>
      <c r="B129" s="48"/>
      <c r="C129" s="48"/>
      <c r="D129" s="48"/>
      <c r="E129" s="48"/>
      <c r="F129" s="48"/>
      <c r="G129" s="48"/>
      <c r="H129" s="48"/>
      <c r="I129" s="48"/>
      <c r="J129" s="145"/>
      <c r="K129" s="145"/>
      <c r="L129" s="48"/>
      <c r="M129" s="136"/>
      <c r="N129" s="155"/>
      <c r="Q129" s="125"/>
      <c r="R129" s="125"/>
      <c r="S129" s="436"/>
      <c r="T129" s="436"/>
      <c r="U129" s="147"/>
      <c r="AC129" s="100">
        <v>106990</v>
      </c>
      <c r="AD129" s="100">
        <f t="shared" si="7"/>
        <v>0</v>
      </c>
    </row>
    <row r="130" spans="1:30" s="144" customFormat="1" ht="18" customHeight="1" x14ac:dyDescent="0.2">
      <c r="A130" s="48"/>
      <c r="B130" s="48"/>
      <c r="C130" s="48"/>
      <c r="D130" s="48"/>
      <c r="E130" s="48"/>
      <c r="F130" s="48"/>
      <c r="G130" s="48"/>
      <c r="H130" s="48"/>
      <c r="I130" s="48"/>
      <c r="J130" s="145"/>
      <c r="K130" s="145"/>
      <c r="L130" s="48"/>
      <c r="M130" s="136"/>
      <c r="N130" s="155"/>
      <c r="Q130" s="125"/>
      <c r="R130" s="125"/>
      <c r="S130" s="436"/>
      <c r="T130" s="436"/>
      <c r="U130" s="147"/>
      <c r="AC130" s="100">
        <v>107028</v>
      </c>
      <c r="AD130" s="100">
        <f t="shared" si="7"/>
        <v>0</v>
      </c>
    </row>
    <row r="131" spans="1:30" s="144" customFormat="1" ht="18" customHeight="1" x14ac:dyDescent="0.2">
      <c r="A131" s="48"/>
      <c r="B131" s="48"/>
      <c r="C131" s="48"/>
      <c r="D131" s="48"/>
      <c r="E131" s="48"/>
      <c r="F131" s="48"/>
      <c r="G131" s="48"/>
      <c r="H131" s="48"/>
      <c r="I131" s="48"/>
      <c r="J131" s="145"/>
      <c r="K131" s="145"/>
      <c r="L131" s="48"/>
      <c r="M131" s="136"/>
      <c r="N131" s="155"/>
      <c r="Q131" s="125"/>
      <c r="R131" s="125"/>
      <c r="S131" s="436"/>
      <c r="T131" s="436"/>
      <c r="U131" s="147"/>
      <c r="AC131" s="100">
        <v>107051</v>
      </c>
      <c r="AD131" s="100">
        <f t="shared" si="7"/>
        <v>0</v>
      </c>
    </row>
    <row r="132" spans="1:30" s="144" customFormat="1" ht="18" customHeight="1" x14ac:dyDescent="0.2">
      <c r="A132" s="48"/>
      <c r="B132" s="48"/>
      <c r="C132" s="48"/>
      <c r="D132" s="48"/>
      <c r="E132" s="48"/>
      <c r="F132" s="48"/>
      <c r="G132" s="48"/>
      <c r="H132" s="48"/>
      <c r="I132" s="48"/>
      <c r="J132" s="145"/>
      <c r="K132" s="145"/>
      <c r="L132" s="48"/>
      <c r="M132" s="136"/>
      <c r="N132" s="155"/>
      <c r="Q132" s="125"/>
      <c r="R132" s="125"/>
      <c r="S132" s="436"/>
      <c r="T132" s="436"/>
      <c r="U132" s="147"/>
      <c r="AC132" s="100">
        <v>107062</v>
      </c>
      <c r="AD132" s="100">
        <f t="shared" si="7"/>
        <v>0</v>
      </c>
    </row>
    <row r="133" spans="1:30" s="144" customFormat="1" ht="18" customHeight="1" x14ac:dyDescent="0.2">
      <c r="A133" s="48"/>
      <c r="B133" s="48"/>
      <c r="C133" s="48"/>
      <c r="D133" s="48"/>
      <c r="E133" s="48"/>
      <c r="F133" s="48"/>
      <c r="G133" s="48"/>
      <c r="H133" s="48"/>
      <c r="I133" s="48"/>
      <c r="J133" s="145"/>
      <c r="K133" s="145"/>
      <c r="L133" s="48"/>
      <c r="M133" s="136"/>
      <c r="N133" s="155"/>
      <c r="Q133" s="125"/>
      <c r="R133" s="125"/>
      <c r="S133" s="436"/>
      <c r="T133" s="436"/>
      <c r="U133" s="147"/>
      <c r="AC133" s="100">
        <v>107131</v>
      </c>
      <c r="AD133" s="100">
        <f t="shared" si="7"/>
        <v>0</v>
      </c>
    </row>
    <row r="134" spans="1:30" s="144" customFormat="1" ht="18" customHeight="1" x14ac:dyDescent="0.2">
      <c r="A134" s="48"/>
      <c r="B134" s="48"/>
      <c r="C134" s="48"/>
      <c r="D134" s="48"/>
      <c r="E134" s="48"/>
      <c r="F134" s="48"/>
      <c r="G134" s="48"/>
      <c r="H134" s="48"/>
      <c r="I134" s="48"/>
      <c r="J134" s="145"/>
      <c r="K134" s="145"/>
      <c r="L134" s="48"/>
      <c r="M134" s="136"/>
      <c r="N134" s="155"/>
      <c r="Q134" s="125"/>
      <c r="R134" s="125"/>
      <c r="S134" s="436"/>
      <c r="T134" s="436"/>
      <c r="U134" s="147"/>
      <c r="AC134" s="100">
        <v>107211</v>
      </c>
      <c r="AD134" s="100">
        <f t="shared" si="7"/>
        <v>0</v>
      </c>
    </row>
    <row r="135" spans="1:30" s="144" customFormat="1" ht="18" customHeight="1" x14ac:dyDescent="0.2">
      <c r="A135" s="48"/>
      <c r="B135" s="48"/>
      <c r="C135" s="48"/>
      <c r="D135" s="48"/>
      <c r="E135" s="48"/>
      <c r="F135" s="48"/>
      <c r="G135" s="48"/>
      <c r="H135" s="48"/>
      <c r="I135" s="48"/>
      <c r="J135" s="145"/>
      <c r="K135" s="145"/>
      <c r="L135" s="48"/>
      <c r="M135" s="136"/>
      <c r="N135" s="155"/>
      <c r="Q135" s="125"/>
      <c r="R135" s="125"/>
      <c r="S135" s="436"/>
      <c r="T135" s="436"/>
      <c r="U135" s="147"/>
      <c r="AC135" s="100">
        <v>107302</v>
      </c>
      <c r="AD135" s="100">
        <f t="shared" si="7"/>
        <v>0</v>
      </c>
    </row>
    <row r="136" spans="1:30" s="144" customFormat="1" ht="18" customHeight="1" x14ac:dyDescent="0.2">
      <c r="A136" s="48"/>
      <c r="B136" s="48"/>
      <c r="C136" s="48"/>
      <c r="D136" s="48"/>
      <c r="E136" s="48"/>
      <c r="F136" s="48"/>
      <c r="G136" s="48"/>
      <c r="H136" s="48"/>
      <c r="I136" s="48"/>
      <c r="J136" s="145"/>
      <c r="K136" s="145"/>
      <c r="L136" s="48"/>
      <c r="M136" s="136"/>
      <c r="N136" s="155"/>
      <c r="Q136" s="125"/>
      <c r="R136" s="125"/>
      <c r="S136" s="436"/>
      <c r="T136" s="436"/>
      <c r="U136" s="147"/>
      <c r="AC136" s="100">
        <v>108054</v>
      </c>
      <c r="AD136" s="100">
        <f t="shared" si="7"/>
        <v>0</v>
      </c>
    </row>
    <row r="137" spans="1:30" s="144" customFormat="1" ht="18" customHeight="1" x14ac:dyDescent="0.2">
      <c r="A137" s="48"/>
      <c r="B137" s="48"/>
      <c r="C137" s="48"/>
      <c r="D137" s="48"/>
      <c r="E137" s="48"/>
      <c r="F137" s="48"/>
      <c r="G137" s="48"/>
      <c r="H137" s="48"/>
      <c r="I137" s="48"/>
      <c r="J137" s="145"/>
      <c r="K137" s="145"/>
      <c r="L137" s="48"/>
      <c r="M137" s="136"/>
      <c r="N137" s="155"/>
      <c r="Q137" s="125"/>
      <c r="R137" s="125"/>
      <c r="S137" s="436"/>
      <c r="T137" s="436"/>
      <c r="U137" s="147"/>
      <c r="AC137" s="100">
        <v>108101</v>
      </c>
      <c r="AD137" s="100">
        <f t="shared" si="7"/>
        <v>0</v>
      </c>
    </row>
    <row r="138" spans="1:30" s="144" customFormat="1" ht="18" customHeight="1" x14ac:dyDescent="0.2">
      <c r="A138" s="48"/>
      <c r="B138" s="48"/>
      <c r="C138" s="48"/>
      <c r="D138" s="48"/>
      <c r="E138" s="48"/>
      <c r="F138" s="48"/>
      <c r="G138" s="48"/>
      <c r="H138" s="48"/>
      <c r="I138" s="48"/>
      <c r="J138" s="145"/>
      <c r="K138" s="145"/>
      <c r="L138" s="48"/>
      <c r="M138" s="136"/>
      <c r="N138" s="155"/>
      <c r="Q138" s="125"/>
      <c r="R138" s="125"/>
      <c r="S138" s="436"/>
      <c r="T138" s="436"/>
      <c r="U138" s="147"/>
      <c r="AC138" s="100">
        <v>108316</v>
      </c>
      <c r="AD138" s="100">
        <f t="shared" si="7"/>
        <v>0</v>
      </c>
    </row>
    <row r="139" spans="1:30" s="144" customFormat="1" ht="18" customHeight="1" x14ac:dyDescent="0.2">
      <c r="A139" s="48"/>
      <c r="B139" s="48"/>
      <c r="C139" s="48"/>
      <c r="D139" s="48"/>
      <c r="E139" s="48"/>
      <c r="F139" s="48"/>
      <c r="G139" s="48"/>
      <c r="H139" s="48"/>
      <c r="I139" s="48"/>
      <c r="J139" s="145"/>
      <c r="K139" s="145"/>
      <c r="L139" s="48"/>
      <c r="M139" s="136"/>
      <c r="N139" s="155"/>
      <c r="Q139" s="125"/>
      <c r="R139" s="125"/>
      <c r="S139" s="436"/>
      <c r="T139" s="436"/>
      <c r="U139" s="147"/>
      <c r="AC139" s="100">
        <v>108383</v>
      </c>
      <c r="AD139" s="100">
        <f t="shared" si="7"/>
        <v>0</v>
      </c>
    </row>
    <row r="140" spans="1:30" s="144" customFormat="1" ht="18" customHeight="1" x14ac:dyDescent="0.2">
      <c r="A140" s="48"/>
      <c r="B140" s="48"/>
      <c r="C140" s="48"/>
      <c r="D140" s="48"/>
      <c r="E140" s="48"/>
      <c r="F140" s="48"/>
      <c r="G140" s="48"/>
      <c r="H140" s="48"/>
      <c r="I140" s="48"/>
      <c r="J140" s="145"/>
      <c r="K140" s="145"/>
      <c r="L140" s="48"/>
      <c r="M140" s="136"/>
      <c r="N140" s="155"/>
      <c r="Q140" s="125"/>
      <c r="R140" s="125"/>
      <c r="S140" s="436"/>
      <c r="T140" s="436"/>
      <c r="U140" s="147"/>
      <c r="AC140" s="100">
        <v>108394</v>
      </c>
      <c r="AD140" s="100">
        <f t="shared" si="7"/>
        <v>0</v>
      </c>
    </row>
    <row r="141" spans="1:30" s="144" customFormat="1" ht="18" customHeight="1" x14ac:dyDescent="0.2">
      <c r="A141" s="48"/>
      <c r="B141" s="48"/>
      <c r="C141" s="48"/>
      <c r="D141" s="48"/>
      <c r="E141" s="48"/>
      <c r="F141" s="48"/>
      <c r="G141" s="48"/>
      <c r="H141" s="48"/>
      <c r="I141" s="48"/>
      <c r="J141" s="145"/>
      <c r="K141" s="145"/>
      <c r="L141" s="48"/>
      <c r="M141" s="136"/>
      <c r="N141" s="155"/>
      <c r="Q141" s="125"/>
      <c r="R141" s="125"/>
      <c r="S141" s="436"/>
      <c r="T141" s="436"/>
      <c r="U141" s="147"/>
      <c r="AC141" s="100">
        <v>108883</v>
      </c>
      <c r="AD141" s="100">
        <f t="shared" si="7"/>
        <v>0</v>
      </c>
    </row>
    <row r="142" spans="1:30" s="144" customFormat="1" ht="18" customHeight="1" x14ac:dyDescent="0.2">
      <c r="A142" s="48"/>
      <c r="B142" s="48"/>
      <c r="C142" s="48"/>
      <c r="D142" s="48"/>
      <c r="E142" s="48"/>
      <c r="F142" s="48"/>
      <c r="G142" s="48"/>
      <c r="H142" s="48"/>
      <c r="I142" s="48"/>
      <c r="J142" s="145"/>
      <c r="K142" s="145"/>
      <c r="L142" s="48"/>
      <c r="M142" s="136"/>
      <c r="N142" s="155"/>
      <c r="Q142" s="125"/>
      <c r="R142" s="125"/>
      <c r="S142" s="436"/>
      <c r="T142" s="436"/>
      <c r="U142" s="147"/>
      <c r="AC142" s="100">
        <v>108907</v>
      </c>
      <c r="AD142" s="100">
        <f t="shared" si="7"/>
        <v>0</v>
      </c>
    </row>
    <row r="143" spans="1:30" s="144" customFormat="1" ht="18" customHeight="1" x14ac:dyDescent="0.2">
      <c r="A143" s="48"/>
      <c r="B143" s="48"/>
      <c r="C143" s="48"/>
      <c r="D143" s="48"/>
      <c r="E143" s="48"/>
      <c r="F143" s="48"/>
      <c r="G143" s="48"/>
      <c r="H143" s="48"/>
      <c r="I143" s="48"/>
      <c r="J143" s="145"/>
      <c r="K143" s="145"/>
      <c r="L143" s="48"/>
      <c r="M143" s="136"/>
      <c r="N143" s="155"/>
      <c r="Q143" s="125"/>
      <c r="R143" s="125"/>
      <c r="S143" s="436"/>
      <c r="T143" s="436"/>
      <c r="U143" s="147"/>
      <c r="AC143" s="100">
        <v>108952</v>
      </c>
      <c r="AD143" s="100">
        <f t="shared" si="7"/>
        <v>0</v>
      </c>
    </row>
    <row r="144" spans="1:30" s="144" customFormat="1" ht="18" customHeight="1" x14ac:dyDescent="0.2">
      <c r="A144" s="48"/>
      <c r="B144" s="48"/>
      <c r="C144" s="48"/>
      <c r="D144" s="48"/>
      <c r="E144" s="48"/>
      <c r="F144" s="48"/>
      <c r="G144" s="48"/>
      <c r="H144" s="48"/>
      <c r="I144" s="48"/>
      <c r="J144" s="145"/>
      <c r="K144" s="145"/>
      <c r="L144" s="48"/>
      <c r="M144" s="136"/>
      <c r="N144" s="155"/>
      <c r="Q144" s="125"/>
      <c r="R144" s="125"/>
      <c r="S144" s="436"/>
      <c r="T144" s="436"/>
      <c r="U144" s="147"/>
      <c r="AC144" s="100">
        <v>110543</v>
      </c>
      <c r="AD144" s="100">
        <f t="shared" si="7"/>
        <v>0</v>
      </c>
    </row>
    <row r="145" spans="1:30" s="144" customFormat="1" ht="18" customHeight="1" x14ac:dyDescent="0.2">
      <c r="A145" s="48"/>
      <c r="B145" s="48"/>
      <c r="C145" s="48"/>
      <c r="D145" s="48"/>
      <c r="E145" s="48"/>
      <c r="F145" s="48"/>
      <c r="G145" s="48"/>
      <c r="H145" s="48"/>
      <c r="I145" s="48"/>
      <c r="J145" s="145"/>
      <c r="K145" s="145"/>
      <c r="L145" s="48"/>
      <c r="M145" s="136"/>
      <c r="N145" s="155"/>
      <c r="Q145" s="125"/>
      <c r="R145" s="125"/>
      <c r="S145" s="436"/>
      <c r="T145" s="436"/>
      <c r="U145" s="147"/>
      <c r="AC145" s="100">
        <v>111422</v>
      </c>
      <c r="AD145" s="100">
        <f t="shared" si="7"/>
        <v>0</v>
      </c>
    </row>
    <row r="146" spans="1:30" s="144" customFormat="1" ht="18" customHeight="1" x14ac:dyDescent="0.2">
      <c r="A146" s="48"/>
      <c r="B146" s="48"/>
      <c r="C146" s="48"/>
      <c r="D146" s="48"/>
      <c r="E146" s="48"/>
      <c r="F146" s="48"/>
      <c r="G146" s="48"/>
      <c r="H146" s="48"/>
      <c r="I146" s="48"/>
      <c r="J146" s="145"/>
      <c r="K146" s="145"/>
      <c r="L146" s="48"/>
      <c r="M146" s="136"/>
      <c r="N146" s="155"/>
      <c r="Q146" s="125"/>
      <c r="R146" s="125"/>
      <c r="S146" s="436"/>
      <c r="T146" s="436"/>
      <c r="U146" s="147"/>
      <c r="AC146" s="100">
        <v>111444</v>
      </c>
      <c r="AD146" s="100">
        <f t="shared" si="7"/>
        <v>0</v>
      </c>
    </row>
    <row r="147" spans="1:30" s="144" customFormat="1" ht="18" customHeight="1" x14ac:dyDescent="0.2">
      <c r="A147" s="48"/>
      <c r="B147" s="48"/>
      <c r="C147" s="48"/>
      <c r="D147" s="48"/>
      <c r="E147" s="48"/>
      <c r="F147" s="48"/>
      <c r="G147" s="48"/>
      <c r="H147" s="48"/>
      <c r="I147" s="48"/>
      <c r="J147" s="145"/>
      <c r="K147" s="145"/>
      <c r="L147" s="48"/>
      <c r="M147" s="136"/>
      <c r="N147" s="155"/>
      <c r="Q147" s="125"/>
      <c r="R147" s="125"/>
      <c r="S147" s="436"/>
      <c r="T147" s="436"/>
      <c r="U147" s="147"/>
      <c r="AC147" s="100">
        <v>114261</v>
      </c>
      <c r="AD147" s="100">
        <f t="shared" si="7"/>
        <v>0</v>
      </c>
    </row>
    <row r="148" spans="1:30" s="144" customFormat="1" ht="18" customHeight="1" x14ac:dyDescent="0.2">
      <c r="A148" s="48"/>
      <c r="B148" s="48"/>
      <c r="C148" s="48"/>
      <c r="D148" s="48"/>
      <c r="E148" s="48"/>
      <c r="F148" s="48"/>
      <c r="G148" s="48"/>
      <c r="H148" s="48"/>
      <c r="I148" s="48"/>
      <c r="J148" s="145"/>
      <c r="K148" s="145"/>
      <c r="L148" s="48"/>
      <c r="M148" s="136"/>
      <c r="N148" s="155"/>
      <c r="Q148" s="125"/>
      <c r="R148" s="125"/>
      <c r="S148" s="436"/>
      <c r="T148" s="436"/>
      <c r="U148" s="147"/>
      <c r="AC148" s="100">
        <v>117817</v>
      </c>
      <c r="AD148" s="100">
        <f t="shared" si="7"/>
        <v>0</v>
      </c>
    </row>
    <row r="149" spans="1:30" s="144" customFormat="1" ht="18" customHeight="1" x14ac:dyDescent="0.2">
      <c r="A149" s="48"/>
      <c r="B149" s="48"/>
      <c r="C149" s="48"/>
      <c r="D149" s="48"/>
      <c r="E149" s="48"/>
      <c r="F149" s="48"/>
      <c r="G149" s="48"/>
      <c r="H149" s="48"/>
      <c r="I149" s="48"/>
      <c r="J149" s="145"/>
      <c r="K149" s="145"/>
      <c r="L149" s="48"/>
      <c r="M149" s="136"/>
      <c r="N149" s="155"/>
      <c r="Q149" s="125"/>
      <c r="R149" s="125"/>
      <c r="S149" s="436"/>
      <c r="T149" s="436"/>
      <c r="U149" s="147"/>
      <c r="AC149" s="100">
        <v>118741</v>
      </c>
      <c r="AD149" s="100">
        <f t="shared" si="7"/>
        <v>0</v>
      </c>
    </row>
    <row r="150" spans="1:30" s="144" customFormat="1" ht="18" customHeight="1" x14ac:dyDescent="0.2">
      <c r="A150" s="48"/>
      <c r="B150" s="48"/>
      <c r="C150" s="48"/>
      <c r="D150" s="48"/>
      <c r="E150" s="48"/>
      <c r="F150" s="48"/>
      <c r="G150" s="48"/>
      <c r="H150" s="48"/>
      <c r="I150" s="48"/>
      <c r="J150" s="145"/>
      <c r="K150" s="145"/>
      <c r="L150" s="48"/>
      <c r="M150" s="136"/>
      <c r="N150" s="155"/>
      <c r="Q150" s="125"/>
      <c r="R150" s="125"/>
      <c r="S150" s="436"/>
      <c r="T150" s="436"/>
      <c r="U150" s="147"/>
      <c r="AC150" s="100">
        <v>119904</v>
      </c>
      <c r="AD150" s="100">
        <f t="shared" si="7"/>
        <v>0</v>
      </c>
    </row>
    <row r="151" spans="1:30" s="144" customFormat="1" ht="18" customHeight="1" x14ac:dyDescent="0.2">
      <c r="A151" s="48"/>
      <c r="B151" s="48"/>
      <c r="C151" s="48"/>
      <c r="D151" s="48"/>
      <c r="E151" s="48"/>
      <c r="F151" s="48"/>
      <c r="G151" s="48"/>
      <c r="H151" s="48"/>
      <c r="I151" s="48"/>
      <c r="J151" s="145"/>
      <c r="K151" s="145"/>
      <c r="L151" s="48"/>
      <c r="M151" s="136"/>
      <c r="N151" s="155"/>
      <c r="Q151" s="125"/>
      <c r="R151" s="125"/>
      <c r="S151" s="436"/>
      <c r="T151" s="436"/>
      <c r="U151" s="147"/>
      <c r="AC151" s="100">
        <v>119937</v>
      </c>
      <c r="AD151" s="100">
        <f t="shared" si="7"/>
        <v>0</v>
      </c>
    </row>
    <row r="152" spans="1:30" s="144" customFormat="1" ht="18" customHeight="1" x14ac:dyDescent="0.2">
      <c r="A152" s="48"/>
      <c r="B152" s="48"/>
      <c r="C152" s="48"/>
      <c r="D152" s="48"/>
      <c r="E152" s="48"/>
      <c r="F152" s="48"/>
      <c r="G152" s="48"/>
      <c r="H152" s="48"/>
      <c r="I152" s="48"/>
      <c r="J152" s="145"/>
      <c r="K152" s="145"/>
      <c r="L152" s="48"/>
      <c r="M152" s="136"/>
      <c r="N152" s="155"/>
      <c r="Q152" s="125"/>
      <c r="R152" s="125"/>
      <c r="S152" s="436"/>
      <c r="T152" s="436"/>
      <c r="U152" s="147"/>
      <c r="AC152" s="100">
        <v>120809</v>
      </c>
      <c r="AD152" s="100">
        <f t="shared" si="7"/>
        <v>0</v>
      </c>
    </row>
    <row r="153" spans="1:30" s="144" customFormat="1" ht="18" customHeight="1" x14ac:dyDescent="0.2">
      <c r="A153" s="48"/>
      <c r="B153" s="48"/>
      <c r="C153" s="48"/>
      <c r="D153" s="48"/>
      <c r="E153" s="48"/>
      <c r="F153" s="48"/>
      <c r="G153" s="48"/>
      <c r="H153" s="48"/>
      <c r="I153" s="48"/>
      <c r="J153" s="145"/>
      <c r="K153" s="145"/>
      <c r="L153" s="48"/>
      <c r="M153" s="136"/>
      <c r="N153" s="155"/>
      <c r="Q153" s="125"/>
      <c r="R153" s="125"/>
      <c r="S153" s="436"/>
      <c r="T153" s="436"/>
      <c r="U153" s="147"/>
      <c r="AC153" s="100">
        <v>120821</v>
      </c>
      <c r="AD153" s="100">
        <f t="shared" si="7"/>
        <v>0</v>
      </c>
    </row>
    <row r="154" spans="1:30" s="144" customFormat="1" ht="18" customHeight="1" x14ac:dyDescent="0.2">
      <c r="A154" s="48"/>
      <c r="B154" s="48"/>
      <c r="C154" s="48"/>
      <c r="D154" s="48"/>
      <c r="E154" s="48"/>
      <c r="F154" s="48"/>
      <c r="G154" s="48"/>
      <c r="H154" s="48"/>
      <c r="I154" s="48"/>
      <c r="J154" s="145"/>
      <c r="K154" s="145"/>
      <c r="L154" s="48"/>
      <c r="M154" s="136"/>
      <c r="N154" s="155"/>
      <c r="Q154" s="125"/>
      <c r="R154" s="125"/>
      <c r="S154" s="436"/>
      <c r="T154" s="436"/>
      <c r="U154" s="147"/>
      <c r="AC154" s="100">
        <v>121142</v>
      </c>
      <c r="AD154" s="100">
        <f t="shared" si="7"/>
        <v>0</v>
      </c>
    </row>
    <row r="155" spans="1:30" s="144" customFormat="1" ht="18" customHeight="1" x14ac:dyDescent="0.2">
      <c r="A155" s="48"/>
      <c r="B155" s="48"/>
      <c r="C155" s="48"/>
      <c r="D155" s="48"/>
      <c r="E155" s="48"/>
      <c r="F155" s="48"/>
      <c r="G155" s="48"/>
      <c r="H155" s="48"/>
      <c r="I155" s="48"/>
      <c r="J155" s="145"/>
      <c r="K155" s="145"/>
      <c r="L155" s="48"/>
      <c r="M155" s="136"/>
      <c r="N155" s="155"/>
      <c r="Q155" s="125"/>
      <c r="R155" s="125"/>
      <c r="S155" s="436"/>
      <c r="T155" s="436"/>
      <c r="U155" s="147"/>
      <c r="AC155" s="100">
        <v>121448</v>
      </c>
      <c r="AD155" s="100">
        <f t="shared" si="7"/>
        <v>0</v>
      </c>
    </row>
    <row r="156" spans="1:30" s="144" customFormat="1" ht="18" customHeight="1" x14ac:dyDescent="0.2">
      <c r="A156" s="48"/>
      <c r="B156" s="48"/>
      <c r="C156" s="48"/>
      <c r="D156" s="48"/>
      <c r="E156" s="48"/>
      <c r="F156" s="48"/>
      <c r="G156" s="48"/>
      <c r="H156" s="48"/>
      <c r="I156" s="48"/>
      <c r="J156" s="145"/>
      <c r="K156" s="145"/>
      <c r="L156" s="48"/>
      <c r="M156" s="136"/>
      <c r="N156" s="155"/>
      <c r="Q156" s="125"/>
      <c r="R156" s="125"/>
      <c r="S156" s="436"/>
      <c r="T156" s="436"/>
      <c r="U156" s="147"/>
      <c r="AC156" s="100">
        <v>121697</v>
      </c>
      <c r="AD156" s="100">
        <f t="shared" si="7"/>
        <v>0</v>
      </c>
    </row>
    <row r="157" spans="1:30" s="144" customFormat="1" ht="18" customHeight="1" x14ac:dyDescent="0.2">
      <c r="A157" s="48"/>
      <c r="B157" s="48"/>
      <c r="C157" s="48"/>
      <c r="D157" s="48"/>
      <c r="E157" s="48"/>
      <c r="F157" s="48"/>
      <c r="G157" s="48"/>
      <c r="H157" s="48"/>
      <c r="I157" s="48"/>
      <c r="J157" s="145"/>
      <c r="K157" s="145"/>
      <c r="L157" s="48"/>
      <c r="M157" s="136"/>
      <c r="N157" s="155"/>
      <c r="Q157" s="125"/>
      <c r="R157" s="125"/>
      <c r="S157" s="436"/>
      <c r="T157" s="436"/>
      <c r="U157" s="147"/>
      <c r="AC157" s="100">
        <v>122667</v>
      </c>
      <c r="AD157" s="100">
        <f t="shared" ref="AD157:AD188" si="8">SUMIF($C$29:$C$60,AC157,$L$29:$L$60)</f>
        <v>0</v>
      </c>
    </row>
    <row r="158" spans="1:30" s="144" customFormat="1" ht="18" customHeight="1" x14ac:dyDescent="0.2">
      <c r="A158" s="48"/>
      <c r="B158" s="48"/>
      <c r="C158" s="48"/>
      <c r="D158" s="48"/>
      <c r="E158" s="48"/>
      <c r="F158" s="48"/>
      <c r="G158" s="48"/>
      <c r="H158" s="48"/>
      <c r="I158" s="48"/>
      <c r="J158" s="145"/>
      <c r="K158" s="145"/>
      <c r="L158" s="48"/>
      <c r="M158" s="136"/>
      <c r="N158" s="155"/>
      <c r="Q158" s="125"/>
      <c r="R158" s="125"/>
      <c r="S158" s="436"/>
      <c r="T158" s="436"/>
      <c r="U158" s="147"/>
      <c r="AC158" s="100">
        <v>123319</v>
      </c>
      <c r="AD158" s="100">
        <f t="shared" si="8"/>
        <v>0</v>
      </c>
    </row>
    <row r="159" spans="1:30" s="144" customFormat="1" ht="18" customHeight="1" x14ac:dyDescent="0.2">
      <c r="A159" s="48"/>
      <c r="B159" s="48"/>
      <c r="C159" s="48"/>
      <c r="D159" s="48"/>
      <c r="E159" s="48"/>
      <c r="F159" s="48"/>
      <c r="G159" s="48"/>
      <c r="H159" s="48"/>
      <c r="I159" s="48"/>
      <c r="J159" s="145"/>
      <c r="K159" s="145"/>
      <c r="L159" s="48"/>
      <c r="M159" s="136"/>
      <c r="N159" s="155"/>
      <c r="Q159" s="125"/>
      <c r="R159" s="125"/>
      <c r="S159" s="436"/>
      <c r="T159" s="436"/>
      <c r="U159" s="147"/>
      <c r="AC159" s="100">
        <v>123386</v>
      </c>
      <c r="AD159" s="100">
        <f t="shared" si="8"/>
        <v>0</v>
      </c>
    </row>
    <row r="160" spans="1:30" s="144" customFormat="1" ht="18" customHeight="1" x14ac:dyDescent="0.2">
      <c r="A160" s="48"/>
      <c r="B160" s="48"/>
      <c r="C160" s="48"/>
      <c r="D160" s="48"/>
      <c r="E160" s="48"/>
      <c r="F160" s="48"/>
      <c r="G160" s="48"/>
      <c r="H160" s="48"/>
      <c r="I160" s="48"/>
      <c r="J160" s="145"/>
      <c r="K160" s="145"/>
      <c r="L160" s="48"/>
      <c r="M160" s="136"/>
      <c r="N160" s="155"/>
      <c r="Q160" s="125"/>
      <c r="R160" s="125"/>
      <c r="S160" s="436"/>
      <c r="T160" s="436"/>
      <c r="U160" s="147"/>
      <c r="AC160" s="100">
        <v>123911</v>
      </c>
      <c r="AD160" s="100">
        <f t="shared" si="8"/>
        <v>0</v>
      </c>
    </row>
    <row r="161" spans="1:30" s="144" customFormat="1" ht="18" customHeight="1" x14ac:dyDescent="0.2">
      <c r="A161" s="48"/>
      <c r="B161" s="48"/>
      <c r="C161" s="48"/>
      <c r="D161" s="48"/>
      <c r="E161" s="48"/>
      <c r="F161" s="48"/>
      <c r="G161" s="48"/>
      <c r="H161" s="48"/>
      <c r="I161" s="48"/>
      <c r="J161" s="145"/>
      <c r="K161" s="145"/>
      <c r="L161" s="48"/>
      <c r="M161" s="136"/>
      <c r="N161" s="155"/>
      <c r="Q161" s="125"/>
      <c r="R161" s="125"/>
      <c r="S161" s="436"/>
      <c r="T161" s="436"/>
      <c r="U161" s="147"/>
      <c r="AC161" s="100">
        <v>126998</v>
      </c>
      <c r="AD161" s="100">
        <f t="shared" si="8"/>
        <v>0</v>
      </c>
    </row>
    <row r="162" spans="1:30" s="144" customFormat="1" ht="18" customHeight="1" x14ac:dyDescent="0.2">
      <c r="A162" s="48"/>
      <c r="B162" s="48"/>
      <c r="C162" s="48"/>
      <c r="D162" s="48"/>
      <c r="E162" s="48"/>
      <c r="F162" s="48"/>
      <c r="G162" s="48"/>
      <c r="H162" s="48"/>
      <c r="I162" s="48"/>
      <c r="J162" s="145"/>
      <c r="K162" s="145"/>
      <c r="L162" s="48"/>
      <c r="M162" s="136"/>
      <c r="N162" s="155"/>
      <c r="Q162" s="125"/>
      <c r="R162" s="125"/>
      <c r="S162" s="436"/>
      <c r="T162" s="436"/>
      <c r="U162" s="147"/>
      <c r="AC162" s="100">
        <v>127184</v>
      </c>
      <c r="AD162" s="100">
        <f t="shared" si="8"/>
        <v>0</v>
      </c>
    </row>
    <row r="163" spans="1:30" s="144" customFormat="1" ht="18" customHeight="1" x14ac:dyDescent="0.2">
      <c r="A163" s="48"/>
      <c r="B163" s="48"/>
      <c r="C163" s="48"/>
      <c r="D163" s="48"/>
      <c r="E163" s="48"/>
      <c r="F163" s="48"/>
      <c r="G163" s="48"/>
      <c r="H163" s="48"/>
      <c r="I163" s="48"/>
      <c r="J163" s="145"/>
      <c r="K163" s="145"/>
      <c r="L163" s="48"/>
      <c r="M163" s="136"/>
      <c r="N163" s="155"/>
      <c r="Q163" s="125"/>
      <c r="R163" s="125"/>
      <c r="S163" s="436"/>
      <c r="T163" s="436"/>
      <c r="U163" s="147"/>
      <c r="AC163" s="100">
        <v>131113</v>
      </c>
      <c r="AD163" s="100">
        <f t="shared" si="8"/>
        <v>0</v>
      </c>
    </row>
    <row r="164" spans="1:30" s="144" customFormat="1" ht="18" customHeight="1" x14ac:dyDescent="0.2">
      <c r="A164" s="48"/>
      <c r="B164" s="48"/>
      <c r="C164" s="48"/>
      <c r="D164" s="48"/>
      <c r="E164" s="48"/>
      <c r="F164" s="48"/>
      <c r="G164" s="48"/>
      <c r="H164" s="48"/>
      <c r="I164" s="48"/>
      <c r="J164" s="145"/>
      <c r="K164" s="145"/>
      <c r="L164" s="48"/>
      <c r="M164" s="136"/>
      <c r="N164" s="155"/>
      <c r="Q164" s="125"/>
      <c r="R164" s="125"/>
      <c r="S164" s="436"/>
      <c r="T164" s="436"/>
      <c r="U164" s="147"/>
      <c r="AC164" s="100">
        <v>132649</v>
      </c>
      <c r="AD164" s="100">
        <f t="shared" si="8"/>
        <v>0</v>
      </c>
    </row>
    <row r="165" spans="1:30" s="144" customFormat="1" ht="18" customHeight="1" x14ac:dyDescent="0.2">
      <c r="A165" s="48"/>
      <c r="B165" s="48"/>
      <c r="C165" s="48"/>
      <c r="D165" s="48"/>
      <c r="E165" s="48"/>
      <c r="F165" s="48"/>
      <c r="G165" s="48"/>
      <c r="H165" s="48"/>
      <c r="I165" s="48"/>
      <c r="J165" s="145"/>
      <c r="K165" s="145"/>
      <c r="L165" s="48"/>
      <c r="M165" s="136"/>
      <c r="N165" s="155"/>
      <c r="Q165" s="125"/>
      <c r="R165" s="125"/>
      <c r="S165" s="436"/>
      <c r="T165" s="436"/>
      <c r="U165" s="147"/>
      <c r="AC165" s="100">
        <v>133062</v>
      </c>
      <c r="AD165" s="100">
        <f t="shared" si="8"/>
        <v>0</v>
      </c>
    </row>
    <row r="166" spans="1:30" s="144" customFormat="1" ht="18" customHeight="1" x14ac:dyDescent="0.2">
      <c r="A166" s="48"/>
      <c r="B166" s="48"/>
      <c r="C166" s="48"/>
      <c r="D166" s="48"/>
      <c r="E166" s="48"/>
      <c r="F166" s="48"/>
      <c r="G166" s="48"/>
      <c r="H166" s="48"/>
      <c r="I166" s="48"/>
      <c r="J166" s="145"/>
      <c r="K166" s="145"/>
      <c r="L166" s="48"/>
      <c r="M166" s="136"/>
      <c r="N166" s="155"/>
      <c r="Q166" s="125"/>
      <c r="R166" s="125"/>
      <c r="S166" s="436"/>
      <c r="T166" s="436"/>
      <c r="U166" s="147"/>
      <c r="AC166" s="100">
        <v>133904</v>
      </c>
      <c r="AD166" s="100">
        <f t="shared" si="8"/>
        <v>0</v>
      </c>
    </row>
    <row r="167" spans="1:30" s="144" customFormat="1" ht="18" customHeight="1" x14ac:dyDescent="0.2">
      <c r="A167" s="48"/>
      <c r="B167" s="48"/>
      <c r="C167" s="48"/>
      <c r="D167" s="48"/>
      <c r="E167" s="48"/>
      <c r="F167" s="48"/>
      <c r="G167" s="48"/>
      <c r="H167" s="48"/>
      <c r="I167" s="48"/>
      <c r="J167" s="145"/>
      <c r="K167" s="145"/>
      <c r="L167" s="48"/>
      <c r="M167" s="136"/>
      <c r="N167" s="155"/>
      <c r="Q167" s="125"/>
      <c r="R167" s="125"/>
      <c r="S167" s="436"/>
      <c r="T167" s="436"/>
      <c r="U167" s="147"/>
      <c r="AC167" s="100">
        <v>140885</v>
      </c>
      <c r="AD167" s="100">
        <f t="shared" si="8"/>
        <v>0</v>
      </c>
    </row>
    <row r="168" spans="1:30" s="144" customFormat="1" ht="18" customHeight="1" x14ac:dyDescent="0.2">
      <c r="A168" s="48"/>
      <c r="B168" s="48"/>
      <c r="C168" s="48"/>
      <c r="D168" s="48"/>
      <c r="E168" s="48"/>
      <c r="F168" s="48"/>
      <c r="G168" s="48"/>
      <c r="H168" s="48"/>
      <c r="I168" s="48"/>
      <c r="J168" s="145"/>
      <c r="K168" s="145"/>
      <c r="L168" s="48"/>
      <c r="M168" s="136"/>
      <c r="N168" s="155"/>
      <c r="Q168" s="125"/>
      <c r="R168" s="125"/>
      <c r="S168" s="436"/>
      <c r="T168" s="436"/>
      <c r="U168" s="147"/>
      <c r="AC168" s="100">
        <v>151564</v>
      </c>
      <c r="AD168" s="100">
        <f t="shared" si="8"/>
        <v>0</v>
      </c>
    </row>
    <row r="169" spans="1:30" s="144" customFormat="1" ht="18" customHeight="1" x14ac:dyDescent="0.2">
      <c r="A169" s="48"/>
      <c r="B169" s="48"/>
      <c r="C169" s="48"/>
      <c r="D169" s="48"/>
      <c r="E169" s="48"/>
      <c r="F169" s="48"/>
      <c r="G169" s="48"/>
      <c r="H169" s="48"/>
      <c r="I169" s="48"/>
      <c r="J169" s="145"/>
      <c r="K169" s="145"/>
      <c r="L169" s="48"/>
      <c r="M169" s="136"/>
      <c r="N169" s="155"/>
      <c r="Q169" s="125"/>
      <c r="R169" s="125"/>
      <c r="S169" s="436"/>
      <c r="T169" s="436"/>
      <c r="U169" s="147"/>
      <c r="AC169" s="100">
        <v>156627</v>
      </c>
      <c r="AD169" s="100">
        <f t="shared" si="8"/>
        <v>0</v>
      </c>
    </row>
    <row r="170" spans="1:30" s="144" customFormat="1" ht="18" customHeight="1" x14ac:dyDescent="0.2">
      <c r="A170" s="48"/>
      <c r="B170" s="48"/>
      <c r="C170" s="48"/>
      <c r="D170" s="48"/>
      <c r="E170" s="48"/>
      <c r="F170" s="48"/>
      <c r="G170" s="48"/>
      <c r="H170" s="48"/>
      <c r="I170" s="48"/>
      <c r="J170" s="145"/>
      <c r="K170" s="145"/>
      <c r="L170" s="48"/>
      <c r="M170" s="136"/>
      <c r="N170" s="155"/>
      <c r="Q170" s="125"/>
      <c r="R170" s="125"/>
      <c r="S170" s="436"/>
      <c r="T170" s="436"/>
      <c r="U170" s="147"/>
      <c r="AC170" s="100">
        <v>302012</v>
      </c>
      <c r="AD170" s="100">
        <f t="shared" si="8"/>
        <v>0</v>
      </c>
    </row>
    <row r="171" spans="1:30" s="144" customFormat="1" ht="18" customHeight="1" x14ac:dyDescent="0.2">
      <c r="A171" s="48"/>
      <c r="B171" s="48"/>
      <c r="C171" s="48"/>
      <c r="D171" s="48"/>
      <c r="E171" s="48"/>
      <c r="F171" s="48"/>
      <c r="G171" s="48"/>
      <c r="H171" s="48"/>
      <c r="I171" s="48"/>
      <c r="J171" s="145"/>
      <c r="K171" s="145"/>
      <c r="L171" s="48"/>
      <c r="M171" s="136"/>
      <c r="N171" s="155"/>
      <c r="Q171" s="125"/>
      <c r="R171" s="125"/>
      <c r="S171" s="436"/>
      <c r="T171" s="436"/>
      <c r="U171" s="147"/>
      <c r="AC171" s="100">
        <v>334883</v>
      </c>
      <c r="AD171" s="100">
        <f t="shared" si="8"/>
        <v>0</v>
      </c>
    </row>
    <row r="172" spans="1:30" s="144" customFormat="1" ht="18" customHeight="1" x14ac:dyDescent="0.2">
      <c r="A172" s="48"/>
      <c r="B172" s="48"/>
      <c r="C172" s="48"/>
      <c r="D172" s="48"/>
      <c r="E172" s="48"/>
      <c r="F172" s="48"/>
      <c r="G172" s="48"/>
      <c r="H172" s="48"/>
      <c r="I172" s="48"/>
      <c r="J172" s="145"/>
      <c r="K172" s="145"/>
      <c r="L172" s="48"/>
      <c r="M172" s="136"/>
      <c r="N172" s="155"/>
      <c r="Q172" s="125"/>
      <c r="R172" s="125"/>
      <c r="S172" s="436"/>
      <c r="T172" s="436"/>
      <c r="U172" s="147"/>
      <c r="AC172" s="100">
        <v>463581</v>
      </c>
      <c r="AD172" s="100">
        <f t="shared" si="8"/>
        <v>0</v>
      </c>
    </row>
    <row r="173" spans="1:30" s="144" customFormat="1" ht="18" customHeight="1" x14ac:dyDescent="0.2">
      <c r="A173" s="48"/>
      <c r="B173" s="48"/>
      <c r="C173" s="48"/>
      <c r="D173" s="48"/>
      <c r="E173" s="48"/>
      <c r="F173" s="48"/>
      <c r="G173" s="48"/>
      <c r="H173" s="48"/>
      <c r="I173" s="48"/>
      <c r="J173" s="145"/>
      <c r="K173" s="145"/>
      <c r="L173" s="48"/>
      <c r="M173" s="136"/>
      <c r="N173" s="155"/>
      <c r="Q173" s="125"/>
      <c r="R173" s="125"/>
      <c r="S173" s="436"/>
      <c r="T173" s="436"/>
      <c r="U173" s="147"/>
      <c r="AC173" s="100">
        <v>510156</v>
      </c>
      <c r="AD173" s="100">
        <f t="shared" si="8"/>
        <v>0</v>
      </c>
    </row>
    <row r="174" spans="1:30" s="144" customFormat="1" ht="18" customHeight="1" x14ac:dyDescent="0.2">
      <c r="A174" s="48"/>
      <c r="B174" s="48"/>
      <c r="C174" s="48"/>
      <c r="D174" s="48"/>
      <c r="E174" s="48"/>
      <c r="F174" s="48"/>
      <c r="G174" s="48"/>
      <c r="H174" s="48"/>
      <c r="I174" s="48"/>
      <c r="J174" s="145"/>
      <c r="K174" s="145"/>
      <c r="L174" s="48"/>
      <c r="M174" s="136"/>
      <c r="N174" s="155"/>
      <c r="Q174" s="125"/>
      <c r="R174" s="125"/>
      <c r="S174" s="436"/>
      <c r="T174" s="436"/>
      <c r="U174" s="147"/>
      <c r="AC174" s="100">
        <v>532274</v>
      </c>
      <c r="AD174" s="100">
        <f t="shared" si="8"/>
        <v>0</v>
      </c>
    </row>
    <row r="175" spans="1:30" s="144" customFormat="1" ht="18" customHeight="1" x14ac:dyDescent="0.2">
      <c r="A175" s="48"/>
      <c r="B175" s="48"/>
      <c r="C175" s="48"/>
      <c r="D175" s="48"/>
      <c r="E175" s="48"/>
      <c r="F175" s="48"/>
      <c r="G175" s="48"/>
      <c r="H175" s="48"/>
      <c r="I175" s="48"/>
      <c r="J175" s="145"/>
      <c r="K175" s="145"/>
      <c r="L175" s="48"/>
      <c r="M175" s="136"/>
      <c r="N175" s="155"/>
      <c r="Q175" s="125"/>
      <c r="R175" s="125"/>
      <c r="S175" s="436"/>
      <c r="T175" s="436"/>
      <c r="U175" s="147"/>
      <c r="AC175" s="100">
        <v>534521</v>
      </c>
      <c r="AD175" s="100">
        <f t="shared" si="8"/>
        <v>0</v>
      </c>
    </row>
    <row r="176" spans="1:30" s="144" customFormat="1" ht="18" customHeight="1" x14ac:dyDescent="0.2">
      <c r="A176" s="48"/>
      <c r="B176" s="48"/>
      <c r="C176" s="48"/>
      <c r="D176" s="48"/>
      <c r="E176" s="48"/>
      <c r="F176" s="48"/>
      <c r="G176" s="48"/>
      <c r="H176" s="48"/>
      <c r="I176" s="48"/>
      <c r="J176" s="145"/>
      <c r="K176" s="145"/>
      <c r="L176" s="48"/>
      <c r="M176" s="136"/>
      <c r="N176" s="155"/>
      <c r="Q176" s="125"/>
      <c r="R176" s="125"/>
      <c r="S176" s="436"/>
      <c r="T176" s="436"/>
      <c r="U176" s="147"/>
      <c r="AC176" s="100">
        <v>540841</v>
      </c>
      <c r="AD176" s="100">
        <f t="shared" si="8"/>
        <v>0</v>
      </c>
    </row>
    <row r="177" spans="1:30" s="144" customFormat="1" ht="18" customHeight="1" x14ac:dyDescent="0.2">
      <c r="A177" s="48"/>
      <c r="B177" s="48"/>
      <c r="C177" s="48"/>
      <c r="D177" s="48"/>
      <c r="E177" s="48"/>
      <c r="F177" s="48"/>
      <c r="G177" s="48"/>
      <c r="H177" s="48"/>
      <c r="I177" s="48"/>
      <c r="J177" s="145"/>
      <c r="K177" s="145"/>
      <c r="L177" s="48"/>
      <c r="M177" s="136"/>
      <c r="N177" s="155"/>
      <c r="Q177" s="125"/>
      <c r="R177" s="125"/>
      <c r="S177" s="436"/>
      <c r="T177" s="436"/>
      <c r="U177" s="147"/>
      <c r="AC177" s="100">
        <v>542756</v>
      </c>
      <c r="AD177" s="100">
        <f t="shared" si="8"/>
        <v>0</v>
      </c>
    </row>
    <row r="178" spans="1:30" s="144" customFormat="1" ht="18" customHeight="1" x14ac:dyDescent="0.2">
      <c r="A178" s="48"/>
      <c r="B178" s="48"/>
      <c r="C178" s="48"/>
      <c r="D178" s="48"/>
      <c r="E178" s="48"/>
      <c r="F178" s="48"/>
      <c r="G178" s="48"/>
      <c r="H178" s="48"/>
      <c r="I178" s="48"/>
      <c r="J178" s="145"/>
      <c r="K178" s="145"/>
      <c r="L178" s="48"/>
      <c r="M178" s="136"/>
      <c r="N178" s="155"/>
      <c r="Q178" s="125"/>
      <c r="R178" s="125"/>
      <c r="S178" s="436"/>
      <c r="T178" s="436"/>
      <c r="U178" s="147"/>
      <c r="AC178" s="100">
        <v>542881</v>
      </c>
      <c r="AD178" s="100">
        <f t="shared" si="8"/>
        <v>0</v>
      </c>
    </row>
    <row r="179" spans="1:30" s="144" customFormat="1" ht="18" customHeight="1" x14ac:dyDescent="0.2">
      <c r="A179" s="48"/>
      <c r="B179" s="48"/>
      <c r="C179" s="48"/>
      <c r="D179" s="48"/>
      <c r="E179" s="48"/>
      <c r="F179" s="48"/>
      <c r="G179" s="48"/>
      <c r="H179" s="48"/>
      <c r="I179" s="48"/>
      <c r="J179" s="145"/>
      <c r="K179" s="145"/>
      <c r="L179" s="48"/>
      <c r="M179" s="136"/>
      <c r="N179" s="155"/>
      <c r="Q179" s="125"/>
      <c r="R179" s="125"/>
      <c r="S179" s="436"/>
      <c r="T179" s="436"/>
      <c r="U179" s="147"/>
      <c r="AC179" s="100">
        <v>584849</v>
      </c>
      <c r="AD179" s="100">
        <f t="shared" si="8"/>
        <v>0</v>
      </c>
    </row>
    <row r="180" spans="1:30" s="144" customFormat="1" ht="18" customHeight="1" x14ac:dyDescent="0.2">
      <c r="A180" s="48"/>
      <c r="B180" s="48"/>
      <c r="C180" s="48"/>
      <c r="D180" s="48"/>
      <c r="E180" s="48"/>
      <c r="F180" s="48"/>
      <c r="G180" s="48"/>
      <c r="H180" s="48"/>
      <c r="I180" s="48"/>
      <c r="J180" s="145"/>
      <c r="K180" s="145"/>
      <c r="L180" s="48"/>
      <c r="M180" s="136"/>
      <c r="N180" s="155"/>
      <c r="Q180" s="125"/>
      <c r="R180" s="125"/>
      <c r="S180" s="436"/>
      <c r="T180" s="436"/>
      <c r="U180" s="147"/>
      <c r="AC180" s="100">
        <v>593602</v>
      </c>
      <c r="AD180" s="100">
        <f t="shared" si="8"/>
        <v>0</v>
      </c>
    </row>
    <row r="181" spans="1:30" s="144" customFormat="1" ht="18" customHeight="1" x14ac:dyDescent="0.2">
      <c r="A181" s="48"/>
      <c r="B181" s="48"/>
      <c r="C181" s="48"/>
      <c r="D181" s="48"/>
      <c r="E181" s="48"/>
      <c r="F181" s="48"/>
      <c r="G181" s="48"/>
      <c r="H181" s="48"/>
      <c r="I181" s="48"/>
      <c r="J181" s="145"/>
      <c r="K181" s="145"/>
      <c r="L181" s="48"/>
      <c r="M181" s="136"/>
      <c r="N181" s="155"/>
      <c r="Q181" s="125"/>
      <c r="R181" s="125"/>
      <c r="S181" s="436"/>
      <c r="T181" s="436"/>
      <c r="U181" s="147"/>
      <c r="AC181" s="100">
        <v>624839</v>
      </c>
      <c r="AD181" s="100">
        <f t="shared" si="8"/>
        <v>0</v>
      </c>
    </row>
    <row r="182" spans="1:30" s="144" customFormat="1" ht="18" customHeight="1" x14ac:dyDescent="0.2">
      <c r="A182" s="48"/>
      <c r="B182" s="48"/>
      <c r="C182" s="48"/>
      <c r="D182" s="48"/>
      <c r="E182" s="48"/>
      <c r="F182" s="48"/>
      <c r="G182" s="48"/>
      <c r="H182" s="48"/>
      <c r="I182" s="48"/>
      <c r="J182" s="145"/>
      <c r="K182" s="145"/>
      <c r="L182" s="48"/>
      <c r="M182" s="136"/>
      <c r="N182" s="155"/>
      <c r="Q182" s="125"/>
      <c r="R182" s="125"/>
      <c r="S182" s="436"/>
      <c r="T182" s="436"/>
      <c r="U182" s="147"/>
      <c r="AC182" s="100">
        <v>680319</v>
      </c>
      <c r="AD182" s="100">
        <f t="shared" si="8"/>
        <v>0</v>
      </c>
    </row>
    <row r="183" spans="1:30" s="144" customFormat="1" ht="18" customHeight="1" x14ac:dyDescent="0.2">
      <c r="A183" s="48"/>
      <c r="B183" s="48"/>
      <c r="C183" s="48"/>
      <c r="D183" s="48"/>
      <c r="E183" s="48"/>
      <c r="F183" s="48"/>
      <c r="G183" s="48"/>
      <c r="H183" s="48"/>
      <c r="I183" s="48"/>
      <c r="J183" s="145"/>
      <c r="K183" s="145"/>
      <c r="L183" s="48"/>
      <c r="M183" s="136"/>
      <c r="N183" s="155"/>
      <c r="Q183" s="125"/>
      <c r="R183" s="125"/>
      <c r="S183" s="436"/>
      <c r="T183" s="436"/>
      <c r="U183" s="147"/>
      <c r="AC183" s="100">
        <v>684935</v>
      </c>
      <c r="AD183" s="100">
        <f t="shared" si="8"/>
        <v>0</v>
      </c>
    </row>
    <row r="184" spans="1:30" s="144" customFormat="1" ht="18" customHeight="1" x14ac:dyDescent="0.2">
      <c r="A184" s="48"/>
      <c r="B184" s="48"/>
      <c r="C184" s="48"/>
      <c r="D184" s="48"/>
      <c r="E184" s="48"/>
      <c r="F184" s="48"/>
      <c r="G184" s="48"/>
      <c r="H184" s="48"/>
      <c r="I184" s="48"/>
      <c r="J184" s="145"/>
      <c r="K184" s="145"/>
      <c r="L184" s="48"/>
      <c r="M184" s="136"/>
      <c r="N184" s="155"/>
      <c r="Q184" s="125"/>
      <c r="R184" s="125"/>
      <c r="S184" s="436"/>
      <c r="T184" s="436"/>
      <c r="U184" s="147"/>
      <c r="AC184" s="100">
        <v>822060</v>
      </c>
      <c r="AD184" s="100">
        <f t="shared" si="8"/>
        <v>0</v>
      </c>
    </row>
    <row r="185" spans="1:30" s="144" customFormat="1" ht="18" customHeight="1" x14ac:dyDescent="0.2">
      <c r="A185" s="48"/>
      <c r="B185" s="48"/>
      <c r="C185" s="48"/>
      <c r="D185" s="48"/>
      <c r="E185" s="48"/>
      <c r="F185" s="48"/>
      <c r="G185" s="48"/>
      <c r="H185" s="48"/>
      <c r="I185" s="48"/>
      <c r="J185" s="145"/>
      <c r="K185" s="145"/>
      <c r="L185" s="48"/>
      <c r="M185" s="136"/>
      <c r="N185" s="155"/>
      <c r="Q185" s="125"/>
      <c r="R185" s="125"/>
      <c r="S185" s="436"/>
      <c r="T185" s="436"/>
      <c r="U185" s="147"/>
      <c r="AC185" s="100">
        <v>1120714</v>
      </c>
      <c r="AD185" s="100">
        <f t="shared" si="8"/>
        <v>0</v>
      </c>
    </row>
    <row r="186" spans="1:30" s="144" customFormat="1" ht="18" customHeight="1" x14ac:dyDescent="0.2">
      <c r="A186" s="48"/>
      <c r="B186" s="48"/>
      <c r="C186" s="48"/>
      <c r="D186" s="48"/>
      <c r="E186" s="48"/>
      <c r="F186" s="48"/>
      <c r="G186" s="48"/>
      <c r="H186" s="48"/>
      <c r="I186" s="48"/>
      <c r="J186" s="145"/>
      <c r="K186" s="145"/>
      <c r="L186" s="48"/>
      <c r="M186" s="136"/>
      <c r="N186" s="155"/>
      <c r="Q186" s="125"/>
      <c r="R186" s="125"/>
      <c r="S186" s="436"/>
      <c r="T186" s="436"/>
      <c r="U186" s="147"/>
      <c r="AC186" s="100">
        <v>1319773</v>
      </c>
      <c r="AD186" s="100">
        <f t="shared" si="8"/>
        <v>0</v>
      </c>
    </row>
    <row r="187" spans="1:30" s="144" customFormat="1" ht="18" customHeight="1" x14ac:dyDescent="0.2">
      <c r="A187" s="48"/>
      <c r="B187" s="48"/>
      <c r="C187" s="48"/>
      <c r="D187" s="48"/>
      <c r="E187" s="48"/>
      <c r="F187" s="48"/>
      <c r="G187" s="48"/>
      <c r="H187" s="48"/>
      <c r="I187" s="48"/>
      <c r="J187" s="145"/>
      <c r="K187" s="145"/>
      <c r="L187" s="48"/>
      <c r="M187" s="136"/>
      <c r="N187" s="155"/>
      <c r="Q187" s="125"/>
      <c r="R187" s="125"/>
      <c r="S187" s="436"/>
      <c r="T187" s="436"/>
      <c r="U187" s="147"/>
      <c r="AC187" s="100">
        <v>1330207</v>
      </c>
      <c r="AD187" s="100">
        <f t="shared" si="8"/>
        <v>0</v>
      </c>
    </row>
    <row r="188" spans="1:30" s="144" customFormat="1" ht="18" customHeight="1" x14ac:dyDescent="0.2">
      <c r="A188" s="48"/>
      <c r="B188" s="48"/>
      <c r="C188" s="48"/>
      <c r="D188" s="48"/>
      <c r="E188" s="48"/>
      <c r="F188" s="48"/>
      <c r="G188" s="48"/>
      <c r="H188" s="48"/>
      <c r="I188" s="48"/>
      <c r="J188" s="145"/>
      <c r="K188" s="145"/>
      <c r="L188" s="48"/>
      <c r="M188" s="136"/>
      <c r="N188" s="155"/>
      <c r="Q188" s="125"/>
      <c r="R188" s="125"/>
      <c r="S188" s="436"/>
      <c r="T188" s="436"/>
      <c r="U188" s="147"/>
      <c r="AC188" s="100">
        <v>1332214</v>
      </c>
      <c r="AD188" s="100">
        <f t="shared" si="8"/>
        <v>0</v>
      </c>
    </row>
    <row r="189" spans="1:30" s="144" customFormat="1" ht="18" customHeight="1" x14ac:dyDescent="0.2">
      <c r="A189" s="48"/>
      <c r="B189" s="48"/>
      <c r="C189" s="48"/>
      <c r="D189" s="48"/>
      <c r="E189" s="48"/>
      <c r="F189" s="48"/>
      <c r="G189" s="48"/>
      <c r="H189" s="48"/>
      <c r="I189" s="48"/>
      <c r="J189" s="145"/>
      <c r="K189" s="145"/>
      <c r="L189" s="48"/>
      <c r="M189" s="136"/>
      <c r="N189" s="155"/>
      <c r="Q189" s="125"/>
      <c r="R189" s="125"/>
      <c r="S189" s="436"/>
      <c r="T189" s="436"/>
      <c r="U189" s="147"/>
      <c r="AC189" s="100">
        <v>1336363</v>
      </c>
      <c r="AD189" s="100">
        <f t="shared" ref="AD189:AD211" si="9">SUMIF($C$29:$C$60,AC189,$L$29:$L$60)</f>
        <v>0</v>
      </c>
    </row>
    <row r="190" spans="1:30" s="144" customFormat="1" ht="18" customHeight="1" x14ac:dyDescent="0.2">
      <c r="A190" s="48"/>
      <c r="B190" s="48"/>
      <c r="C190" s="48"/>
      <c r="D190" s="48"/>
      <c r="E190" s="48"/>
      <c r="F190" s="48"/>
      <c r="G190" s="48"/>
      <c r="H190" s="48"/>
      <c r="I190" s="48"/>
      <c r="J190" s="145"/>
      <c r="K190" s="145"/>
      <c r="L190" s="48"/>
      <c r="M190" s="136"/>
      <c r="N190" s="155"/>
      <c r="Q190" s="125"/>
      <c r="R190" s="125"/>
      <c r="S190" s="436"/>
      <c r="T190" s="436"/>
      <c r="U190" s="147"/>
      <c r="AC190" s="100">
        <v>1582098</v>
      </c>
      <c r="AD190" s="100">
        <f t="shared" si="9"/>
        <v>0</v>
      </c>
    </row>
    <row r="191" spans="1:30" s="144" customFormat="1" ht="18" customHeight="1" x14ac:dyDescent="0.2">
      <c r="A191" s="48"/>
      <c r="B191" s="48"/>
      <c r="C191" s="48"/>
      <c r="D191" s="48"/>
      <c r="E191" s="48"/>
      <c r="F191" s="48"/>
      <c r="G191" s="48"/>
      <c r="H191" s="48"/>
      <c r="I191" s="48"/>
      <c r="J191" s="145"/>
      <c r="K191" s="145"/>
      <c r="L191" s="48"/>
      <c r="M191" s="136"/>
      <c r="N191" s="155"/>
      <c r="Q191" s="125"/>
      <c r="R191" s="125"/>
      <c r="S191" s="436"/>
      <c r="T191" s="436"/>
      <c r="U191" s="147"/>
      <c r="AC191" s="100">
        <v>1634044</v>
      </c>
      <c r="AD191" s="100">
        <f t="shared" si="9"/>
        <v>0</v>
      </c>
    </row>
    <row r="192" spans="1:30" s="144" customFormat="1" ht="18" customHeight="1" x14ac:dyDescent="0.2">
      <c r="A192" s="48"/>
      <c r="B192" s="48"/>
      <c r="C192" s="48"/>
      <c r="D192" s="48"/>
      <c r="E192" s="48"/>
      <c r="F192" s="48"/>
      <c r="G192" s="48"/>
      <c r="H192" s="48"/>
      <c r="I192" s="48"/>
      <c r="J192" s="145"/>
      <c r="K192" s="145"/>
      <c r="L192" s="48"/>
      <c r="M192" s="136"/>
      <c r="N192" s="155"/>
      <c r="Q192" s="125"/>
      <c r="R192" s="125"/>
      <c r="S192" s="436"/>
      <c r="T192" s="436"/>
      <c r="U192" s="147"/>
      <c r="AC192" s="100">
        <v>1746016</v>
      </c>
      <c r="AD192" s="100">
        <f t="shared" si="9"/>
        <v>0</v>
      </c>
    </row>
    <row r="193" spans="1:30" s="144" customFormat="1" ht="18" customHeight="1" x14ac:dyDescent="0.2">
      <c r="A193" s="48"/>
      <c r="B193" s="48"/>
      <c r="C193" s="48"/>
      <c r="D193" s="48"/>
      <c r="E193" s="48"/>
      <c r="F193" s="48"/>
      <c r="G193" s="48"/>
      <c r="H193" s="48"/>
      <c r="I193" s="48"/>
      <c r="J193" s="145"/>
      <c r="K193" s="145"/>
      <c r="L193" s="48"/>
      <c r="M193" s="136"/>
      <c r="N193" s="155"/>
      <c r="Q193" s="125"/>
      <c r="R193" s="125"/>
      <c r="S193" s="436"/>
      <c r="T193" s="436"/>
      <c r="U193" s="147"/>
      <c r="AC193" s="100">
        <v>3547044</v>
      </c>
      <c r="AD193" s="100">
        <f t="shared" si="9"/>
        <v>0</v>
      </c>
    </row>
    <row r="194" spans="1:30" s="144" customFormat="1" ht="18" customHeight="1" x14ac:dyDescent="0.2">
      <c r="A194" s="48"/>
      <c r="B194" s="48"/>
      <c r="C194" s="48"/>
      <c r="D194" s="48"/>
      <c r="E194" s="48"/>
      <c r="F194" s="48"/>
      <c r="G194" s="48"/>
      <c r="H194" s="48"/>
      <c r="I194" s="48"/>
      <c r="J194" s="145"/>
      <c r="K194" s="145"/>
      <c r="L194" s="48"/>
      <c r="M194" s="136"/>
      <c r="N194" s="155"/>
      <c r="Q194" s="125"/>
      <c r="R194" s="125"/>
      <c r="S194" s="436"/>
      <c r="T194" s="436"/>
      <c r="U194" s="147"/>
      <c r="AC194" s="100">
        <v>7439921</v>
      </c>
      <c r="AD194" s="100">
        <f t="shared" si="9"/>
        <v>0</v>
      </c>
    </row>
    <row r="195" spans="1:30" s="144" customFormat="1" ht="18" customHeight="1" x14ac:dyDescent="0.2">
      <c r="A195" s="48"/>
      <c r="B195" s="48"/>
      <c r="C195" s="48"/>
      <c r="D195" s="48"/>
      <c r="E195" s="48"/>
      <c r="F195" s="48"/>
      <c r="G195" s="48"/>
      <c r="H195" s="48"/>
      <c r="I195" s="48"/>
      <c r="J195" s="145"/>
      <c r="K195" s="145"/>
      <c r="L195" s="48"/>
      <c r="M195" s="136"/>
      <c r="N195" s="155"/>
      <c r="Q195" s="125"/>
      <c r="R195" s="125"/>
      <c r="S195" s="436"/>
      <c r="T195" s="436"/>
      <c r="U195" s="147"/>
      <c r="AC195" s="100">
        <v>7439965</v>
      </c>
      <c r="AD195" s="100">
        <f t="shared" si="9"/>
        <v>0</v>
      </c>
    </row>
    <row r="196" spans="1:30" s="144" customFormat="1" ht="18" customHeight="1" x14ac:dyDescent="0.2">
      <c r="A196" s="48"/>
      <c r="B196" s="48"/>
      <c r="C196" s="48"/>
      <c r="D196" s="48"/>
      <c r="E196" s="48"/>
      <c r="F196" s="48"/>
      <c r="G196" s="48"/>
      <c r="H196" s="48"/>
      <c r="I196" s="48"/>
      <c r="J196" s="145"/>
      <c r="K196" s="145"/>
      <c r="L196" s="48"/>
      <c r="M196" s="136"/>
      <c r="N196" s="155"/>
      <c r="Q196" s="125"/>
      <c r="R196" s="125"/>
      <c r="S196" s="436"/>
      <c r="T196" s="436"/>
      <c r="U196" s="147"/>
      <c r="AC196" s="100">
        <v>7439976</v>
      </c>
      <c r="AD196" s="100">
        <f t="shared" si="9"/>
        <v>0</v>
      </c>
    </row>
    <row r="197" spans="1:30" s="144" customFormat="1" ht="18" customHeight="1" x14ac:dyDescent="0.2">
      <c r="A197" s="48"/>
      <c r="B197" s="48"/>
      <c r="C197" s="48"/>
      <c r="D197" s="48"/>
      <c r="E197" s="48"/>
      <c r="F197" s="48"/>
      <c r="G197" s="48"/>
      <c r="H197" s="48"/>
      <c r="I197" s="48"/>
      <c r="J197" s="145"/>
      <c r="K197" s="145"/>
      <c r="L197" s="48"/>
      <c r="M197" s="136"/>
      <c r="N197" s="155"/>
      <c r="Q197" s="125"/>
      <c r="R197" s="125"/>
      <c r="S197" s="436"/>
      <c r="T197" s="436"/>
      <c r="U197" s="147"/>
      <c r="AC197" s="100">
        <v>7440020</v>
      </c>
      <c r="AD197" s="100">
        <f t="shared" si="9"/>
        <v>0</v>
      </c>
    </row>
    <row r="198" spans="1:30" s="144" customFormat="1" ht="18" customHeight="1" x14ac:dyDescent="0.2">
      <c r="A198" s="48"/>
      <c r="B198" s="48"/>
      <c r="C198" s="48"/>
      <c r="D198" s="48"/>
      <c r="E198" s="48"/>
      <c r="F198" s="48"/>
      <c r="G198" s="48"/>
      <c r="H198" s="48"/>
      <c r="I198" s="48"/>
      <c r="J198" s="145"/>
      <c r="K198" s="145"/>
      <c r="L198" s="48"/>
      <c r="M198" s="136"/>
      <c r="N198" s="155"/>
      <c r="Q198" s="125"/>
      <c r="R198" s="125"/>
      <c r="S198" s="436"/>
      <c r="T198" s="436"/>
      <c r="U198" s="147"/>
      <c r="AC198" s="100">
        <v>7440360</v>
      </c>
      <c r="AD198" s="100">
        <f t="shared" si="9"/>
        <v>0</v>
      </c>
    </row>
    <row r="199" spans="1:30" s="144" customFormat="1" ht="18" customHeight="1" x14ac:dyDescent="0.2">
      <c r="A199" s="48"/>
      <c r="B199" s="48"/>
      <c r="C199" s="48"/>
      <c r="D199" s="48"/>
      <c r="E199" s="48"/>
      <c r="F199" s="48"/>
      <c r="G199" s="48"/>
      <c r="H199" s="48"/>
      <c r="I199" s="48"/>
      <c r="J199" s="145"/>
      <c r="K199" s="145"/>
      <c r="L199" s="48"/>
      <c r="M199" s="136"/>
      <c r="N199" s="155"/>
      <c r="Q199" s="125"/>
      <c r="R199" s="125"/>
      <c r="S199" s="436"/>
      <c r="T199" s="436"/>
      <c r="U199" s="147"/>
      <c r="AC199" s="100">
        <v>7440382</v>
      </c>
      <c r="AD199" s="100">
        <f t="shared" si="9"/>
        <v>0</v>
      </c>
    </row>
    <row r="200" spans="1:30" s="144" customFormat="1" ht="18" customHeight="1" x14ac:dyDescent="0.2">
      <c r="A200" s="48"/>
      <c r="B200" s="48"/>
      <c r="C200" s="48"/>
      <c r="D200" s="48"/>
      <c r="E200" s="48"/>
      <c r="F200" s="48"/>
      <c r="G200" s="48"/>
      <c r="H200" s="48"/>
      <c r="I200" s="48"/>
      <c r="J200" s="145"/>
      <c r="K200" s="145"/>
      <c r="L200" s="48"/>
      <c r="M200" s="136"/>
      <c r="N200" s="155"/>
      <c r="Q200" s="125"/>
      <c r="R200" s="125"/>
      <c r="S200" s="436"/>
      <c r="T200" s="436"/>
      <c r="U200" s="147"/>
      <c r="AC200" s="100">
        <v>7440417</v>
      </c>
      <c r="AD200" s="100">
        <f t="shared" si="9"/>
        <v>0</v>
      </c>
    </row>
    <row r="201" spans="1:30" s="144" customFormat="1" ht="18" customHeight="1" x14ac:dyDescent="0.2">
      <c r="A201" s="48"/>
      <c r="B201" s="48"/>
      <c r="C201" s="48"/>
      <c r="D201" s="48"/>
      <c r="E201" s="48"/>
      <c r="F201" s="48"/>
      <c r="G201" s="48"/>
      <c r="H201" s="48"/>
      <c r="I201" s="48"/>
      <c r="J201" s="145"/>
      <c r="K201" s="145"/>
      <c r="L201" s="48"/>
      <c r="M201" s="136"/>
      <c r="N201" s="155"/>
      <c r="Q201" s="125"/>
      <c r="R201" s="125"/>
      <c r="S201" s="436"/>
      <c r="T201" s="436"/>
      <c r="U201" s="147"/>
      <c r="AC201" s="100">
        <v>7440439</v>
      </c>
      <c r="AD201" s="100">
        <f t="shared" si="9"/>
        <v>0</v>
      </c>
    </row>
    <row r="202" spans="1:30" s="144" customFormat="1" ht="18" customHeight="1" x14ac:dyDescent="0.2">
      <c r="A202" s="48"/>
      <c r="B202" s="48"/>
      <c r="C202" s="48"/>
      <c r="D202" s="48"/>
      <c r="E202" s="48"/>
      <c r="F202" s="48"/>
      <c r="G202" s="48"/>
      <c r="H202" s="48"/>
      <c r="I202" s="48"/>
      <c r="J202" s="145"/>
      <c r="K202" s="145"/>
      <c r="L202" s="48"/>
      <c r="M202" s="136"/>
      <c r="N202" s="155"/>
      <c r="Q202" s="125"/>
      <c r="R202" s="125"/>
      <c r="S202" s="436"/>
      <c r="T202" s="436"/>
      <c r="U202" s="147"/>
      <c r="AC202" s="100">
        <v>7440473</v>
      </c>
      <c r="AD202" s="100">
        <f t="shared" si="9"/>
        <v>0</v>
      </c>
    </row>
    <row r="203" spans="1:30" s="144" customFormat="1" ht="18" customHeight="1" x14ac:dyDescent="0.2">
      <c r="A203" s="48"/>
      <c r="B203" s="48"/>
      <c r="C203" s="48"/>
      <c r="D203" s="48"/>
      <c r="E203" s="48"/>
      <c r="F203" s="48"/>
      <c r="G203" s="48"/>
      <c r="H203" s="48"/>
      <c r="I203" s="48"/>
      <c r="J203" s="145"/>
      <c r="K203" s="145"/>
      <c r="L203" s="48"/>
      <c r="M203" s="136"/>
      <c r="N203" s="155"/>
      <c r="Q203" s="125"/>
      <c r="R203" s="125"/>
      <c r="S203" s="436"/>
      <c r="T203" s="436"/>
      <c r="U203" s="147"/>
      <c r="AC203" s="100">
        <v>7440484</v>
      </c>
      <c r="AD203" s="100">
        <f t="shared" si="9"/>
        <v>0</v>
      </c>
    </row>
    <row r="204" spans="1:30" s="144" customFormat="1" ht="18" customHeight="1" x14ac:dyDescent="0.2">
      <c r="A204" s="48"/>
      <c r="B204" s="48"/>
      <c r="C204" s="48"/>
      <c r="D204" s="48"/>
      <c r="E204" s="48"/>
      <c r="F204" s="48"/>
      <c r="G204" s="48"/>
      <c r="H204" s="48"/>
      <c r="I204" s="48"/>
      <c r="J204" s="145"/>
      <c r="K204" s="145"/>
      <c r="L204" s="48"/>
      <c r="M204" s="136"/>
      <c r="N204" s="155"/>
      <c r="Q204" s="125"/>
      <c r="R204" s="125"/>
      <c r="S204" s="436"/>
      <c r="T204" s="436"/>
      <c r="U204" s="147"/>
      <c r="AC204" s="100">
        <v>7550450</v>
      </c>
      <c r="AD204" s="100">
        <f t="shared" si="9"/>
        <v>0</v>
      </c>
    </row>
    <row r="205" spans="1:30" s="144" customFormat="1" ht="18" customHeight="1" x14ac:dyDescent="0.2">
      <c r="A205" s="48"/>
      <c r="B205" s="48"/>
      <c r="C205" s="48"/>
      <c r="D205" s="48"/>
      <c r="E205" s="48"/>
      <c r="F205" s="48"/>
      <c r="G205" s="48"/>
      <c r="H205" s="48"/>
      <c r="I205" s="48"/>
      <c r="J205" s="145"/>
      <c r="K205" s="145"/>
      <c r="L205" s="48"/>
      <c r="M205" s="136"/>
      <c r="N205" s="155"/>
      <c r="Q205" s="125"/>
      <c r="R205" s="125"/>
      <c r="S205" s="436"/>
      <c r="T205" s="436"/>
      <c r="U205" s="147"/>
      <c r="AC205" s="100">
        <v>7647010</v>
      </c>
      <c r="AD205" s="100">
        <f t="shared" si="9"/>
        <v>0</v>
      </c>
    </row>
    <row r="206" spans="1:30" s="144" customFormat="1" ht="18" customHeight="1" x14ac:dyDescent="0.2">
      <c r="A206" s="48"/>
      <c r="B206" s="48"/>
      <c r="C206" s="48"/>
      <c r="D206" s="48"/>
      <c r="E206" s="48"/>
      <c r="F206" s="48"/>
      <c r="G206" s="48"/>
      <c r="H206" s="48"/>
      <c r="I206" s="48"/>
      <c r="J206" s="145"/>
      <c r="K206" s="145"/>
      <c r="L206" s="48"/>
      <c r="M206" s="136"/>
      <c r="N206" s="155"/>
      <c r="Q206" s="125"/>
      <c r="R206" s="125"/>
      <c r="S206" s="436"/>
      <c r="T206" s="436"/>
      <c r="U206" s="147"/>
      <c r="AC206" s="100">
        <v>7664393</v>
      </c>
      <c r="AD206" s="100">
        <f t="shared" si="9"/>
        <v>0</v>
      </c>
    </row>
    <row r="207" spans="1:30" s="144" customFormat="1" ht="18" customHeight="1" x14ac:dyDescent="0.2">
      <c r="A207" s="48"/>
      <c r="B207" s="48"/>
      <c r="C207" s="48"/>
      <c r="D207" s="48"/>
      <c r="E207" s="48"/>
      <c r="F207" s="48"/>
      <c r="G207" s="48"/>
      <c r="H207" s="48"/>
      <c r="I207" s="48"/>
      <c r="J207" s="145"/>
      <c r="K207" s="145"/>
      <c r="L207" s="48"/>
      <c r="M207" s="136"/>
      <c r="N207" s="155"/>
      <c r="Q207" s="125"/>
      <c r="R207" s="125"/>
      <c r="S207" s="436"/>
      <c r="T207" s="436"/>
      <c r="U207" s="147"/>
      <c r="AC207" s="100">
        <v>7723140</v>
      </c>
      <c r="AD207" s="100">
        <f t="shared" si="9"/>
        <v>0</v>
      </c>
    </row>
    <row r="208" spans="1:30" s="144" customFormat="1" ht="18" customHeight="1" x14ac:dyDescent="0.2">
      <c r="A208" s="48"/>
      <c r="B208" s="48"/>
      <c r="C208" s="48"/>
      <c r="D208" s="48"/>
      <c r="E208" s="48"/>
      <c r="F208" s="48"/>
      <c r="G208" s="48"/>
      <c r="H208" s="48"/>
      <c r="I208" s="48"/>
      <c r="J208" s="145"/>
      <c r="K208" s="145"/>
      <c r="L208" s="48"/>
      <c r="M208" s="136"/>
      <c r="N208" s="155"/>
      <c r="Q208" s="125"/>
      <c r="R208" s="125"/>
      <c r="S208" s="436"/>
      <c r="T208" s="436"/>
      <c r="U208" s="147"/>
      <c r="AC208" s="100">
        <v>7782492</v>
      </c>
      <c r="AD208" s="100">
        <f t="shared" si="9"/>
        <v>0</v>
      </c>
    </row>
    <row r="209" spans="1:30" s="144" customFormat="1" ht="18" customHeight="1" x14ac:dyDescent="0.2">
      <c r="A209" s="48"/>
      <c r="B209" s="48"/>
      <c r="C209" s="48"/>
      <c r="D209" s="48"/>
      <c r="E209" s="48"/>
      <c r="F209" s="48"/>
      <c r="G209" s="48"/>
      <c r="H209" s="48"/>
      <c r="I209" s="48"/>
      <c r="J209" s="145"/>
      <c r="K209" s="145"/>
      <c r="L209" s="48"/>
      <c r="M209" s="136"/>
      <c r="N209" s="155"/>
      <c r="Q209" s="125"/>
      <c r="R209" s="125"/>
      <c r="S209" s="436"/>
      <c r="T209" s="436"/>
      <c r="U209" s="147"/>
      <c r="AC209" s="100">
        <v>7782505</v>
      </c>
      <c r="AD209" s="100">
        <f t="shared" si="9"/>
        <v>0</v>
      </c>
    </row>
    <row r="210" spans="1:30" s="144" customFormat="1" ht="18" customHeight="1" x14ac:dyDescent="0.2">
      <c r="A210" s="48"/>
      <c r="B210" s="48"/>
      <c r="C210" s="48"/>
      <c r="D210" s="48"/>
      <c r="E210" s="48"/>
      <c r="F210" s="48"/>
      <c r="G210" s="48"/>
      <c r="H210" s="48"/>
      <c r="I210" s="48"/>
      <c r="J210" s="145"/>
      <c r="K210" s="145"/>
      <c r="L210" s="48"/>
      <c r="M210" s="136"/>
      <c r="N210" s="155"/>
      <c r="Q210" s="125"/>
      <c r="R210" s="125"/>
      <c r="S210" s="436"/>
      <c r="T210" s="436"/>
      <c r="U210" s="147"/>
      <c r="AC210" s="100">
        <v>7803512</v>
      </c>
      <c r="AD210" s="100">
        <f t="shared" si="9"/>
        <v>0</v>
      </c>
    </row>
    <row r="211" spans="1:30" s="144" customFormat="1" ht="18" customHeight="1" x14ac:dyDescent="0.2">
      <c r="A211" s="48"/>
      <c r="B211" s="48"/>
      <c r="C211" s="48"/>
      <c r="D211" s="48"/>
      <c r="E211" s="48"/>
      <c r="F211" s="48"/>
      <c r="G211" s="48"/>
      <c r="H211" s="48"/>
      <c r="I211" s="48"/>
      <c r="J211" s="145"/>
      <c r="K211" s="145"/>
      <c r="L211" s="48"/>
      <c r="M211" s="136"/>
      <c r="N211" s="155"/>
      <c r="Q211" s="125"/>
      <c r="R211" s="125"/>
      <c r="S211" s="436"/>
      <c r="T211" s="436"/>
      <c r="U211" s="147"/>
      <c r="AC211" s="100">
        <v>8001352</v>
      </c>
      <c r="AD211" s="100">
        <f t="shared" si="9"/>
        <v>0</v>
      </c>
    </row>
    <row r="212" spans="1:30" s="144" customFormat="1" ht="18" customHeight="1" x14ac:dyDescent="0.25">
      <c r="A212" s="48"/>
      <c r="B212" s="48"/>
      <c r="C212" s="48"/>
      <c r="D212" s="48"/>
      <c r="E212" s="48"/>
      <c r="F212" s="48"/>
      <c r="G212" s="48"/>
      <c r="H212" s="48"/>
      <c r="I212" s="48"/>
      <c r="J212" s="145"/>
      <c r="K212" s="145"/>
      <c r="L212" s="48"/>
      <c r="M212" s="136"/>
      <c r="N212" s="155"/>
      <c r="Q212" s="125"/>
      <c r="R212" s="125"/>
      <c r="S212" s="436"/>
      <c r="T212" s="436"/>
      <c r="U212" s="147"/>
    </row>
    <row r="213" spans="1:30" s="144" customFormat="1" ht="18" customHeight="1" x14ac:dyDescent="0.25">
      <c r="A213" s="48"/>
      <c r="B213" s="48"/>
      <c r="C213" s="48"/>
      <c r="D213" s="48"/>
      <c r="E213" s="48"/>
      <c r="F213" s="48"/>
      <c r="G213" s="48"/>
      <c r="H213" s="48"/>
      <c r="I213" s="48"/>
      <c r="J213" s="145"/>
      <c r="K213" s="145"/>
      <c r="L213" s="48"/>
      <c r="M213" s="136"/>
      <c r="N213" s="155"/>
      <c r="Q213" s="125"/>
      <c r="R213" s="125"/>
      <c r="S213" s="436"/>
      <c r="T213" s="436"/>
      <c r="U213" s="147"/>
    </row>
    <row r="214" spans="1:30" s="144" customFormat="1" ht="18" customHeight="1" x14ac:dyDescent="0.25">
      <c r="A214" s="48"/>
      <c r="B214" s="48"/>
      <c r="C214" s="48"/>
      <c r="D214" s="48"/>
      <c r="E214" s="48"/>
      <c r="F214" s="48"/>
      <c r="G214" s="48"/>
      <c r="H214" s="48"/>
      <c r="I214" s="48"/>
      <c r="J214" s="145"/>
      <c r="K214" s="145"/>
      <c r="L214" s="48"/>
      <c r="M214" s="136"/>
      <c r="N214" s="155"/>
      <c r="Q214" s="125"/>
      <c r="R214" s="125"/>
      <c r="S214" s="436"/>
      <c r="T214" s="436"/>
      <c r="U214" s="147"/>
    </row>
    <row r="215" spans="1:30" s="144" customFormat="1" ht="18" customHeight="1" x14ac:dyDescent="0.25">
      <c r="A215" s="48"/>
      <c r="B215" s="48"/>
      <c r="C215" s="48"/>
      <c r="D215" s="48"/>
      <c r="E215" s="48"/>
      <c r="F215" s="48"/>
      <c r="G215" s="48"/>
      <c r="H215" s="48"/>
      <c r="I215" s="48"/>
      <c r="J215" s="145"/>
      <c r="K215" s="145"/>
      <c r="L215" s="48"/>
      <c r="M215" s="136"/>
      <c r="N215" s="155"/>
      <c r="Q215" s="125"/>
      <c r="R215" s="125"/>
      <c r="S215" s="436"/>
      <c r="T215" s="436"/>
      <c r="U215" s="147"/>
    </row>
    <row r="216" spans="1:30" s="144" customFormat="1" ht="18" customHeight="1" x14ac:dyDescent="0.25">
      <c r="A216" s="48"/>
      <c r="B216" s="48"/>
      <c r="C216" s="48"/>
      <c r="D216" s="48"/>
      <c r="E216" s="48"/>
      <c r="F216" s="48"/>
      <c r="G216" s="48"/>
      <c r="H216" s="48"/>
      <c r="I216" s="48"/>
      <c r="J216" s="145"/>
      <c r="K216" s="145"/>
      <c r="L216" s="48"/>
      <c r="M216" s="136"/>
      <c r="N216" s="155"/>
      <c r="Q216" s="125"/>
      <c r="R216" s="125"/>
      <c r="S216" s="436"/>
      <c r="T216" s="436"/>
      <c r="U216" s="147"/>
    </row>
    <row r="217" spans="1:30" s="144" customFormat="1" ht="18" customHeight="1" x14ac:dyDescent="0.25">
      <c r="A217" s="48"/>
      <c r="B217" s="48"/>
      <c r="C217" s="48"/>
      <c r="D217" s="48"/>
      <c r="E217" s="48"/>
      <c r="F217" s="48"/>
      <c r="G217" s="48"/>
      <c r="H217" s="48"/>
      <c r="I217" s="48"/>
      <c r="J217" s="145"/>
      <c r="K217" s="145"/>
      <c r="L217" s="48"/>
      <c r="M217" s="136"/>
      <c r="N217" s="155"/>
      <c r="Q217" s="125"/>
      <c r="R217" s="125"/>
      <c r="S217" s="436"/>
      <c r="T217" s="436"/>
      <c r="U217" s="147"/>
    </row>
    <row r="218" spans="1:30" s="144" customFormat="1" ht="18" customHeight="1" x14ac:dyDescent="0.25">
      <c r="A218" s="48"/>
      <c r="B218" s="48"/>
      <c r="C218" s="48"/>
      <c r="D218" s="48"/>
      <c r="E218" s="48"/>
      <c r="F218" s="48"/>
      <c r="G218" s="48"/>
      <c r="H218" s="48"/>
      <c r="I218" s="48"/>
      <c r="J218" s="145"/>
      <c r="K218" s="145"/>
      <c r="L218" s="48"/>
      <c r="M218" s="136"/>
      <c r="N218" s="155"/>
      <c r="Q218" s="125"/>
      <c r="R218" s="125"/>
      <c r="S218" s="436"/>
      <c r="T218" s="436"/>
      <c r="U218" s="147"/>
    </row>
    <row r="219" spans="1:30" s="144" customFormat="1" ht="18" customHeight="1" x14ac:dyDescent="0.25">
      <c r="A219" s="48"/>
      <c r="B219" s="48"/>
      <c r="C219" s="48"/>
      <c r="D219" s="48"/>
      <c r="E219" s="48"/>
      <c r="F219" s="48"/>
      <c r="G219" s="48"/>
      <c r="H219" s="48"/>
      <c r="I219" s="48"/>
      <c r="J219" s="145"/>
      <c r="K219" s="145"/>
      <c r="L219" s="48"/>
      <c r="M219" s="136"/>
      <c r="N219" s="155"/>
      <c r="Q219" s="125"/>
      <c r="R219" s="125"/>
      <c r="S219" s="436"/>
      <c r="T219" s="436"/>
      <c r="U219" s="147"/>
    </row>
    <row r="220" spans="1:30" s="144" customFormat="1" ht="18" customHeight="1" x14ac:dyDescent="0.25">
      <c r="A220" s="48"/>
      <c r="B220" s="48"/>
      <c r="C220" s="48"/>
      <c r="D220" s="48"/>
      <c r="E220" s="48"/>
      <c r="F220" s="48"/>
      <c r="G220" s="48"/>
      <c r="H220" s="48"/>
      <c r="I220" s="48"/>
      <c r="J220" s="145"/>
      <c r="K220" s="145"/>
      <c r="L220" s="48"/>
      <c r="M220" s="136"/>
      <c r="N220" s="155"/>
      <c r="Q220" s="125"/>
      <c r="R220" s="125"/>
      <c r="S220" s="436"/>
      <c r="T220" s="436"/>
      <c r="U220" s="147"/>
    </row>
    <row r="221" spans="1:30" s="144" customFormat="1" ht="18" customHeight="1" x14ac:dyDescent="0.25">
      <c r="A221" s="48"/>
      <c r="B221" s="48"/>
      <c r="C221" s="48"/>
      <c r="D221" s="48"/>
      <c r="E221" s="48"/>
      <c r="F221" s="48"/>
      <c r="G221" s="48"/>
      <c r="H221" s="48"/>
      <c r="I221" s="48"/>
      <c r="J221" s="145"/>
      <c r="K221" s="145"/>
      <c r="L221" s="48"/>
      <c r="M221" s="136"/>
      <c r="N221" s="155"/>
      <c r="Q221" s="125"/>
      <c r="R221" s="125"/>
      <c r="S221" s="436"/>
      <c r="T221" s="436"/>
      <c r="U221" s="147"/>
    </row>
    <row r="222" spans="1:30" s="144" customFormat="1" ht="18" customHeight="1" x14ac:dyDescent="0.25">
      <c r="A222" s="48"/>
      <c r="B222" s="48"/>
      <c r="C222" s="48"/>
      <c r="D222" s="48"/>
      <c r="E222" s="48"/>
      <c r="F222" s="48"/>
      <c r="G222" s="48"/>
      <c r="H222" s="48"/>
      <c r="I222" s="48"/>
      <c r="J222" s="145"/>
      <c r="K222" s="145"/>
      <c r="L222" s="48"/>
      <c r="M222" s="136"/>
      <c r="N222" s="155"/>
      <c r="Q222" s="125"/>
      <c r="R222" s="125"/>
      <c r="S222" s="436"/>
      <c r="T222" s="436"/>
      <c r="U222" s="147"/>
    </row>
    <row r="223" spans="1:30" s="144" customFormat="1" ht="18" customHeight="1" x14ac:dyDescent="0.25">
      <c r="A223" s="48"/>
      <c r="B223" s="48"/>
      <c r="C223" s="48"/>
      <c r="D223" s="48"/>
      <c r="E223" s="48"/>
      <c r="F223" s="48"/>
      <c r="G223" s="48"/>
      <c r="H223" s="48"/>
      <c r="I223" s="48"/>
      <c r="J223" s="145"/>
      <c r="K223" s="145"/>
      <c r="L223" s="48"/>
      <c r="M223" s="136"/>
      <c r="N223" s="155"/>
      <c r="Q223" s="125"/>
      <c r="R223" s="125"/>
      <c r="S223" s="436"/>
      <c r="T223" s="436"/>
      <c r="U223" s="147"/>
    </row>
    <row r="224" spans="1:30" s="144" customFormat="1" ht="18" customHeight="1" x14ac:dyDescent="0.25">
      <c r="A224" s="48"/>
      <c r="B224" s="48"/>
      <c r="C224" s="48"/>
      <c r="D224" s="48"/>
      <c r="E224" s="48"/>
      <c r="F224" s="48"/>
      <c r="G224" s="48"/>
      <c r="H224" s="48"/>
      <c r="I224" s="48"/>
      <c r="J224" s="145"/>
      <c r="K224" s="145"/>
      <c r="L224" s="48"/>
      <c r="M224" s="136"/>
      <c r="N224" s="155"/>
      <c r="Q224" s="125"/>
      <c r="R224" s="125"/>
      <c r="S224" s="436"/>
      <c r="T224" s="436"/>
      <c r="U224" s="147"/>
    </row>
    <row r="225" spans="1:21" s="144" customFormat="1" ht="18" customHeight="1" x14ac:dyDescent="0.25">
      <c r="A225" s="48"/>
      <c r="B225" s="48"/>
      <c r="C225" s="48"/>
      <c r="D225" s="48"/>
      <c r="E225" s="48"/>
      <c r="F225" s="48"/>
      <c r="G225" s="48"/>
      <c r="H225" s="48"/>
      <c r="I225" s="48"/>
      <c r="J225" s="145"/>
      <c r="K225" s="145"/>
      <c r="L225" s="48"/>
      <c r="M225" s="136"/>
      <c r="N225" s="155"/>
      <c r="Q225" s="125"/>
      <c r="R225" s="125"/>
      <c r="S225" s="436"/>
      <c r="T225" s="436"/>
      <c r="U225" s="147"/>
    </row>
    <row r="226" spans="1:21" s="144" customFormat="1" ht="18" customHeight="1" x14ac:dyDescent="0.25">
      <c r="A226" s="48"/>
      <c r="B226" s="48"/>
      <c r="C226" s="48"/>
      <c r="D226" s="48"/>
      <c r="E226" s="48"/>
      <c r="F226" s="48"/>
      <c r="G226" s="48"/>
      <c r="H226" s="48"/>
      <c r="I226" s="48"/>
      <c r="J226" s="145"/>
      <c r="K226" s="145"/>
      <c r="L226" s="48"/>
      <c r="M226" s="136"/>
      <c r="N226" s="155"/>
      <c r="Q226" s="125"/>
      <c r="R226" s="125"/>
      <c r="S226" s="436"/>
      <c r="T226" s="436"/>
      <c r="U226" s="147"/>
    </row>
    <row r="227" spans="1:21" s="144" customFormat="1" ht="18" customHeight="1" x14ac:dyDescent="0.25">
      <c r="A227" s="48"/>
      <c r="B227" s="48"/>
      <c r="C227" s="48"/>
      <c r="D227" s="48"/>
      <c r="E227" s="48"/>
      <c r="F227" s="48"/>
      <c r="G227" s="48"/>
      <c r="H227" s="48"/>
      <c r="I227" s="48"/>
      <c r="J227" s="145"/>
      <c r="K227" s="145"/>
      <c r="L227" s="48"/>
      <c r="M227" s="136"/>
      <c r="N227" s="155"/>
      <c r="Q227" s="125"/>
      <c r="R227" s="125"/>
      <c r="S227" s="436"/>
      <c r="T227" s="436"/>
      <c r="U227" s="147"/>
    </row>
    <row r="228" spans="1:21" s="144" customFormat="1" ht="18" customHeight="1" x14ac:dyDescent="0.25">
      <c r="A228" s="48"/>
      <c r="B228" s="48"/>
      <c r="C228" s="48"/>
      <c r="D228" s="48"/>
      <c r="E228" s="48"/>
      <c r="F228" s="48"/>
      <c r="G228" s="48"/>
      <c r="H228" s="48"/>
      <c r="I228" s="48"/>
      <c r="J228" s="145"/>
      <c r="K228" s="145"/>
      <c r="L228" s="48"/>
      <c r="M228" s="136"/>
      <c r="N228" s="155"/>
      <c r="Q228" s="125"/>
      <c r="R228" s="125"/>
      <c r="S228" s="436"/>
      <c r="T228" s="436"/>
      <c r="U228" s="147"/>
    </row>
    <row r="229" spans="1:21" s="144" customFormat="1" ht="18" customHeight="1" x14ac:dyDescent="0.25">
      <c r="A229" s="48"/>
      <c r="B229" s="48"/>
      <c r="C229" s="48"/>
      <c r="D229" s="48"/>
      <c r="E229" s="48"/>
      <c r="F229" s="48"/>
      <c r="G229" s="48"/>
      <c r="H229" s="48"/>
      <c r="I229" s="48"/>
      <c r="J229" s="145"/>
      <c r="K229" s="145"/>
      <c r="L229" s="48"/>
      <c r="M229" s="136"/>
      <c r="N229" s="155"/>
      <c r="Q229" s="125"/>
      <c r="R229" s="125"/>
      <c r="S229" s="436"/>
      <c r="T229" s="436"/>
      <c r="U229" s="147"/>
    </row>
    <row r="230" spans="1:21" s="144" customFormat="1" ht="18" customHeight="1" x14ac:dyDescent="0.25">
      <c r="A230" s="48"/>
      <c r="B230" s="48"/>
      <c r="C230" s="48"/>
      <c r="D230" s="48"/>
      <c r="E230" s="48"/>
      <c r="F230" s="48"/>
      <c r="G230" s="48"/>
      <c r="H230" s="48"/>
      <c r="I230" s="48"/>
      <c r="J230" s="145"/>
      <c r="K230" s="145"/>
      <c r="L230" s="48"/>
      <c r="M230" s="136"/>
      <c r="N230" s="155"/>
      <c r="Q230" s="125"/>
      <c r="R230" s="125"/>
      <c r="S230" s="436"/>
      <c r="T230" s="436"/>
      <c r="U230" s="147"/>
    </row>
    <row r="231" spans="1:21" s="144" customFormat="1" ht="18" customHeight="1" x14ac:dyDescent="0.25">
      <c r="A231" s="48"/>
      <c r="B231" s="48"/>
      <c r="C231" s="48"/>
      <c r="D231" s="48"/>
      <c r="E231" s="48"/>
      <c r="F231" s="48"/>
      <c r="G231" s="48"/>
      <c r="H231" s="48"/>
      <c r="I231" s="48"/>
      <c r="J231" s="145"/>
      <c r="K231" s="145"/>
      <c r="L231" s="48"/>
      <c r="M231" s="136"/>
      <c r="N231" s="155"/>
      <c r="Q231" s="125"/>
      <c r="R231" s="125"/>
      <c r="S231" s="436"/>
      <c r="T231" s="436"/>
      <c r="U231" s="147"/>
    </row>
    <row r="232" spans="1:21" s="144" customFormat="1" ht="18" customHeight="1" x14ac:dyDescent="0.25">
      <c r="A232" s="48"/>
      <c r="B232" s="48"/>
      <c r="C232" s="48"/>
      <c r="D232" s="48"/>
      <c r="E232" s="48"/>
      <c r="F232" s="48"/>
      <c r="G232" s="48"/>
      <c r="H232" s="48"/>
      <c r="I232" s="48"/>
      <c r="J232" s="145"/>
      <c r="K232" s="145"/>
      <c r="L232" s="48"/>
      <c r="M232" s="136"/>
      <c r="N232" s="155"/>
      <c r="Q232" s="125"/>
      <c r="R232" s="125"/>
      <c r="S232" s="436"/>
      <c r="T232" s="436"/>
      <c r="U232" s="147"/>
    </row>
    <row r="233" spans="1:21" s="144" customFormat="1" ht="18" customHeight="1" x14ac:dyDescent="0.25">
      <c r="A233" s="48"/>
      <c r="B233" s="48"/>
      <c r="C233" s="48"/>
      <c r="D233" s="48"/>
      <c r="E233" s="48"/>
      <c r="F233" s="48"/>
      <c r="G233" s="48"/>
      <c r="H233" s="48"/>
      <c r="I233" s="48"/>
      <c r="J233" s="145"/>
      <c r="K233" s="145"/>
      <c r="L233" s="48"/>
      <c r="M233" s="136"/>
      <c r="N233" s="155"/>
      <c r="Q233" s="125"/>
      <c r="R233" s="125"/>
      <c r="S233" s="436"/>
      <c r="T233" s="436"/>
      <c r="U233" s="147"/>
    </row>
    <row r="234" spans="1:21" s="144" customFormat="1" ht="18" customHeight="1" x14ac:dyDescent="0.25">
      <c r="A234" s="48"/>
      <c r="B234" s="48"/>
      <c r="C234" s="48"/>
      <c r="D234" s="48"/>
      <c r="E234" s="48"/>
      <c r="F234" s="48"/>
      <c r="G234" s="48"/>
      <c r="H234" s="48"/>
      <c r="I234" s="48"/>
      <c r="J234" s="145"/>
      <c r="K234" s="145"/>
      <c r="L234" s="48"/>
      <c r="M234" s="136"/>
      <c r="N234" s="155"/>
      <c r="Q234" s="125"/>
      <c r="R234" s="125"/>
      <c r="S234" s="436"/>
      <c r="T234" s="436"/>
      <c r="U234" s="147"/>
    </row>
    <row r="235" spans="1:21" s="144" customFormat="1" ht="18" customHeight="1" x14ac:dyDescent="0.25">
      <c r="A235" s="48"/>
      <c r="B235" s="48"/>
      <c r="C235" s="48"/>
      <c r="D235" s="48"/>
      <c r="E235" s="48"/>
      <c r="F235" s="48"/>
      <c r="G235" s="48"/>
      <c r="H235" s="48"/>
      <c r="I235" s="48"/>
      <c r="J235" s="145"/>
      <c r="K235" s="145"/>
      <c r="L235" s="48"/>
      <c r="M235" s="136"/>
      <c r="N235" s="155"/>
      <c r="Q235" s="125"/>
      <c r="R235" s="125"/>
      <c r="S235" s="436"/>
      <c r="T235" s="436"/>
      <c r="U235" s="147"/>
    </row>
    <row r="236" spans="1:21" s="144" customFormat="1" ht="18" customHeight="1" x14ac:dyDescent="0.25">
      <c r="A236" s="48"/>
      <c r="B236" s="48"/>
      <c r="C236" s="48"/>
      <c r="D236" s="48"/>
      <c r="E236" s="48"/>
      <c r="F236" s="48"/>
      <c r="G236" s="48"/>
      <c r="H236" s="48"/>
      <c r="I236" s="48"/>
      <c r="J236" s="145"/>
      <c r="K236" s="145"/>
      <c r="L236" s="48"/>
      <c r="M236" s="136"/>
      <c r="N236" s="155"/>
      <c r="Q236" s="125"/>
      <c r="R236" s="125"/>
      <c r="S236" s="436"/>
      <c r="T236" s="436"/>
      <c r="U236" s="147"/>
    </row>
    <row r="237" spans="1:21" s="144" customFormat="1" ht="18" customHeight="1" x14ac:dyDescent="0.25">
      <c r="A237" s="48"/>
      <c r="B237" s="48"/>
      <c r="C237" s="48"/>
      <c r="D237" s="48"/>
      <c r="E237" s="48"/>
      <c r="F237" s="48"/>
      <c r="G237" s="48"/>
      <c r="H237" s="48"/>
      <c r="I237" s="48"/>
      <c r="J237" s="145"/>
      <c r="K237" s="145"/>
      <c r="L237" s="48"/>
      <c r="M237" s="136"/>
      <c r="N237" s="155"/>
      <c r="Q237" s="125"/>
      <c r="R237" s="125"/>
      <c r="S237" s="436"/>
      <c r="T237" s="436"/>
      <c r="U237" s="147"/>
    </row>
    <row r="238" spans="1:21" s="144" customFormat="1" ht="18" customHeight="1" x14ac:dyDescent="0.25">
      <c r="A238" s="48"/>
      <c r="B238" s="48"/>
      <c r="C238" s="48"/>
      <c r="D238" s="48"/>
      <c r="E238" s="48"/>
      <c r="F238" s="48"/>
      <c r="G238" s="48"/>
      <c r="H238" s="48"/>
      <c r="I238" s="48"/>
      <c r="J238" s="145"/>
      <c r="K238" s="145"/>
      <c r="L238" s="48"/>
      <c r="M238" s="136"/>
      <c r="N238" s="155"/>
      <c r="Q238" s="125"/>
      <c r="R238" s="125"/>
      <c r="S238" s="436"/>
      <c r="T238" s="436"/>
      <c r="U238" s="147"/>
    </row>
    <row r="239" spans="1:21" s="144" customFormat="1" ht="18" customHeight="1" x14ac:dyDescent="0.25">
      <c r="A239" s="48"/>
      <c r="B239" s="48"/>
      <c r="C239" s="48"/>
      <c r="D239" s="48"/>
      <c r="E239" s="48"/>
      <c r="F239" s="48"/>
      <c r="G239" s="48"/>
      <c r="H239" s="48"/>
      <c r="I239" s="48"/>
      <c r="J239" s="145"/>
      <c r="K239" s="145"/>
      <c r="L239" s="48"/>
      <c r="M239" s="136"/>
      <c r="N239" s="155"/>
      <c r="Q239" s="125"/>
      <c r="R239" s="125"/>
      <c r="S239" s="436"/>
      <c r="T239" s="436"/>
      <c r="U239" s="147"/>
    </row>
    <row r="240" spans="1:21" s="144" customFormat="1" ht="18" customHeight="1" x14ac:dyDescent="0.25">
      <c r="A240" s="48"/>
      <c r="B240" s="48"/>
      <c r="C240" s="48"/>
      <c r="D240" s="48"/>
      <c r="E240" s="48"/>
      <c r="F240" s="48"/>
      <c r="G240" s="48"/>
      <c r="H240" s="48"/>
      <c r="I240" s="48"/>
      <c r="J240" s="145"/>
      <c r="K240" s="145"/>
      <c r="L240" s="48"/>
      <c r="M240" s="136"/>
      <c r="N240" s="155"/>
      <c r="Q240" s="125"/>
      <c r="R240" s="125"/>
      <c r="S240" s="436"/>
      <c r="T240" s="436"/>
      <c r="U240" s="147"/>
    </row>
    <row r="241" spans="1:21" s="144" customFormat="1" ht="18" customHeight="1" x14ac:dyDescent="0.25">
      <c r="A241" s="48"/>
      <c r="B241" s="48"/>
      <c r="C241" s="48"/>
      <c r="D241" s="48"/>
      <c r="E241" s="48"/>
      <c r="F241" s="48"/>
      <c r="G241" s="48"/>
      <c r="H241" s="48"/>
      <c r="I241" s="48"/>
      <c r="J241" s="145"/>
      <c r="K241" s="145"/>
      <c r="L241" s="48"/>
      <c r="M241" s="136"/>
      <c r="N241" s="155"/>
      <c r="Q241" s="125"/>
      <c r="R241" s="125"/>
      <c r="S241" s="436"/>
      <c r="T241" s="436"/>
      <c r="U241" s="147"/>
    </row>
    <row r="242" spans="1:21" s="144" customFormat="1" ht="18" customHeight="1" x14ac:dyDescent="0.25">
      <c r="A242" s="48"/>
      <c r="B242" s="48"/>
      <c r="C242" s="48"/>
      <c r="D242" s="48"/>
      <c r="E242" s="48"/>
      <c r="F242" s="48"/>
      <c r="G242" s="48"/>
      <c r="H242" s="48"/>
      <c r="I242" s="48"/>
      <c r="J242" s="145"/>
      <c r="K242" s="145"/>
      <c r="L242" s="48"/>
      <c r="M242" s="136"/>
      <c r="N242" s="155"/>
      <c r="Q242" s="125"/>
      <c r="R242" s="125"/>
      <c r="S242" s="436"/>
      <c r="T242" s="436"/>
      <c r="U242" s="147"/>
    </row>
    <row r="243" spans="1:21" s="144" customFormat="1" ht="18" customHeight="1" x14ac:dyDescent="0.25">
      <c r="A243" s="48"/>
      <c r="B243" s="48"/>
      <c r="C243" s="48"/>
      <c r="D243" s="48"/>
      <c r="E243" s="48"/>
      <c r="F243" s="48"/>
      <c r="G243" s="48"/>
      <c r="H243" s="48"/>
      <c r="I243" s="48"/>
      <c r="J243" s="145"/>
      <c r="K243" s="145"/>
      <c r="L243" s="48"/>
      <c r="M243" s="136"/>
      <c r="N243" s="155"/>
      <c r="Q243" s="125"/>
      <c r="R243" s="125"/>
      <c r="S243" s="436"/>
      <c r="T243" s="436"/>
      <c r="U243" s="147"/>
    </row>
    <row r="244" spans="1:21" s="144" customFormat="1" ht="18" customHeight="1" x14ac:dyDescent="0.25">
      <c r="A244" s="48"/>
      <c r="B244" s="48"/>
      <c r="C244" s="48"/>
      <c r="D244" s="48"/>
      <c r="E244" s="48"/>
      <c r="F244" s="48"/>
      <c r="G244" s="48"/>
      <c r="H244" s="48"/>
      <c r="I244" s="48"/>
      <c r="J244" s="145"/>
      <c r="K244" s="145"/>
      <c r="L244" s="48"/>
      <c r="M244" s="136"/>
      <c r="N244" s="155"/>
      <c r="Q244" s="125"/>
      <c r="R244" s="125"/>
      <c r="S244" s="436"/>
      <c r="T244" s="436"/>
      <c r="U244" s="147"/>
    </row>
    <row r="245" spans="1:21" s="144" customFormat="1" ht="18" customHeight="1" x14ac:dyDescent="0.25">
      <c r="A245" s="48"/>
      <c r="B245" s="48"/>
      <c r="C245" s="48"/>
      <c r="D245" s="48"/>
      <c r="E245" s="48"/>
      <c r="F245" s="48"/>
      <c r="G245" s="48"/>
      <c r="H245" s="48"/>
      <c r="I245" s="48"/>
      <c r="J245" s="145"/>
      <c r="K245" s="145"/>
      <c r="L245" s="48"/>
      <c r="M245" s="136"/>
      <c r="N245" s="155"/>
      <c r="Q245" s="125"/>
      <c r="R245" s="125"/>
      <c r="S245" s="436"/>
      <c r="T245" s="436"/>
      <c r="U245" s="147"/>
    </row>
    <row r="246" spans="1:21" s="144" customFormat="1" ht="18" customHeight="1" x14ac:dyDescent="0.25">
      <c r="A246" s="48"/>
      <c r="B246" s="48"/>
      <c r="C246" s="48"/>
      <c r="D246" s="48"/>
      <c r="E246" s="48"/>
      <c r="F246" s="48"/>
      <c r="G246" s="48"/>
      <c r="H246" s="48"/>
      <c r="I246" s="48"/>
      <c r="J246" s="145"/>
      <c r="K246" s="145"/>
      <c r="L246" s="48"/>
      <c r="M246" s="136"/>
      <c r="N246" s="155"/>
      <c r="Q246" s="125"/>
      <c r="R246" s="125"/>
      <c r="S246" s="436"/>
      <c r="T246" s="436"/>
      <c r="U246" s="147"/>
    </row>
    <row r="247" spans="1:21" s="144" customFormat="1" ht="18" customHeight="1" x14ac:dyDescent="0.25">
      <c r="A247" s="48"/>
      <c r="B247" s="48"/>
      <c r="C247" s="48"/>
      <c r="D247" s="48"/>
      <c r="E247" s="48"/>
      <c r="F247" s="48"/>
      <c r="G247" s="48"/>
      <c r="H247" s="48"/>
      <c r="I247" s="48"/>
      <c r="J247" s="145"/>
      <c r="K247" s="145"/>
      <c r="L247" s="48"/>
      <c r="M247" s="136"/>
      <c r="N247" s="155"/>
      <c r="Q247" s="125"/>
      <c r="R247" s="125"/>
      <c r="S247" s="436"/>
      <c r="T247" s="436"/>
      <c r="U247" s="147"/>
    </row>
    <row r="248" spans="1:21" s="144" customFormat="1" ht="18" customHeight="1" x14ac:dyDescent="0.25">
      <c r="A248" s="48"/>
      <c r="B248" s="48"/>
      <c r="C248" s="48"/>
      <c r="D248" s="48"/>
      <c r="E248" s="48"/>
      <c r="F248" s="48"/>
      <c r="G248" s="48"/>
      <c r="H248" s="48"/>
      <c r="I248" s="48"/>
      <c r="J248" s="145"/>
      <c r="K248" s="145"/>
      <c r="L248" s="48"/>
      <c r="M248" s="136"/>
      <c r="N248" s="155"/>
      <c r="Q248" s="125"/>
      <c r="R248" s="125"/>
      <c r="S248" s="436"/>
      <c r="T248" s="436"/>
      <c r="U248" s="147"/>
    </row>
    <row r="249" spans="1:21" s="144" customFormat="1" ht="18" customHeight="1" x14ac:dyDescent="0.25">
      <c r="A249" s="48"/>
      <c r="B249" s="48"/>
      <c r="C249" s="48"/>
      <c r="D249" s="48"/>
      <c r="E249" s="48"/>
      <c r="F249" s="48"/>
      <c r="G249" s="48"/>
      <c r="H249" s="48"/>
      <c r="I249" s="48"/>
      <c r="J249" s="145"/>
      <c r="K249" s="145"/>
      <c r="L249" s="48"/>
      <c r="M249" s="136"/>
      <c r="N249" s="155"/>
      <c r="Q249" s="125"/>
      <c r="R249" s="125"/>
      <c r="S249" s="436"/>
      <c r="T249" s="436"/>
      <c r="U249" s="147"/>
    </row>
    <row r="250" spans="1:21" s="144" customFormat="1" ht="18" customHeight="1" x14ac:dyDescent="0.25">
      <c r="A250" s="48"/>
      <c r="B250" s="48"/>
      <c r="C250" s="48"/>
      <c r="D250" s="48"/>
      <c r="E250" s="48"/>
      <c r="F250" s="48"/>
      <c r="G250" s="48"/>
      <c r="H250" s="48"/>
      <c r="I250" s="48"/>
      <c r="J250" s="145"/>
      <c r="K250" s="145"/>
      <c r="L250" s="48"/>
      <c r="M250" s="136"/>
      <c r="N250" s="155"/>
      <c r="Q250" s="125"/>
      <c r="R250" s="125"/>
      <c r="S250" s="436"/>
      <c r="T250" s="436"/>
      <c r="U250" s="147"/>
    </row>
    <row r="251" spans="1:21" s="144" customFormat="1" ht="18" customHeight="1" x14ac:dyDescent="0.25">
      <c r="A251" s="48"/>
      <c r="B251" s="48"/>
      <c r="C251" s="48"/>
      <c r="D251" s="48"/>
      <c r="E251" s="48"/>
      <c r="F251" s="48"/>
      <c r="G251" s="48"/>
      <c r="H251" s="48"/>
      <c r="I251" s="48"/>
      <c r="J251" s="145"/>
      <c r="K251" s="145"/>
      <c r="L251" s="48"/>
      <c r="M251" s="136"/>
      <c r="N251" s="155"/>
      <c r="Q251" s="125"/>
      <c r="R251" s="125"/>
      <c r="S251" s="436"/>
      <c r="T251" s="436"/>
      <c r="U251" s="147"/>
    </row>
    <row r="252" spans="1:21" s="144" customFormat="1" ht="18" customHeight="1" x14ac:dyDescent="0.25">
      <c r="A252" s="48"/>
      <c r="B252" s="48"/>
      <c r="C252" s="48"/>
      <c r="D252" s="48"/>
      <c r="E252" s="48"/>
      <c r="F252" s="48"/>
      <c r="G252" s="48"/>
      <c r="H252" s="48"/>
      <c r="I252" s="48"/>
      <c r="J252" s="145"/>
      <c r="K252" s="145"/>
      <c r="L252" s="48"/>
      <c r="M252" s="136"/>
      <c r="N252" s="155"/>
      <c r="Q252" s="125"/>
      <c r="R252" s="125"/>
      <c r="S252" s="436"/>
      <c r="T252" s="436"/>
      <c r="U252" s="147"/>
    </row>
    <row r="253" spans="1:21" s="144" customFormat="1" ht="18" customHeight="1" x14ac:dyDescent="0.25">
      <c r="A253" s="48"/>
      <c r="B253" s="48"/>
      <c r="C253" s="48"/>
      <c r="D253" s="48"/>
      <c r="E253" s="48"/>
      <c r="F253" s="48"/>
      <c r="G253" s="48"/>
      <c r="H253" s="48"/>
      <c r="I253" s="48"/>
      <c r="J253" s="145"/>
      <c r="K253" s="145"/>
      <c r="L253" s="48"/>
      <c r="M253" s="136"/>
      <c r="N253" s="155"/>
      <c r="Q253" s="125"/>
      <c r="R253" s="125"/>
      <c r="S253" s="436"/>
      <c r="T253" s="436"/>
      <c r="U253" s="147"/>
    </row>
    <row r="254" spans="1:21" s="144" customFormat="1" ht="18" customHeight="1" x14ac:dyDescent="0.25">
      <c r="A254" s="48"/>
      <c r="B254" s="48"/>
      <c r="C254" s="48"/>
      <c r="D254" s="48"/>
      <c r="E254" s="48"/>
      <c r="F254" s="48"/>
      <c r="G254" s="48"/>
      <c r="H254" s="48"/>
      <c r="I254" s="48"/>
      <c r="J254" s="145"/>
      <c r="K254" s="145"/>
      <c r="L254" s="48"/>
      <c r="M254" s="136"/>
      <c r="N254" s="155"/>
      <c r="Q254" s="125"/>
      <c r="R254" s="125"/>
      <c r="S254" s="436"/>
      <c r="T254" s="436"/>
      <c r="U254" s="147"/>
    </row>
    <row r="255" spans="1:21" s="144" customFormat="1" ht="18" customHeight="1" x14ac:dyDescent="0.25">
      <c r="A255" s="48"/>
      <c r="B255" s="48"/>
      <c r="C255" s="48"/>
      <c r="D255" s="48"/>
      <c r="E255" s="48"/>
      <c r="F255" s="48"/>
      <c r="G255" s="48"/>
      <c r="H255" s="48"/>
      <c r="I255" s="48"/>
      <c r="J255" s="145"/>
      <c r="K255" s="145"/>
      <c r="L255" s="48"/>
      <c r="M255" s="136"/>
      <c r="N255" s="155"/>
      <c r="Q255" s="125"/>
      <c r="R255" s="125"/>
      <c r="S255" s="436"/>
      <c r="T255" s="436"/>
      <c r="U255" s="147"/>
    </row>
    <row r="256" spans="1:21" s="144" customFormat="1" ht="18" customHeight="1" x14ac:dyDescent="0.25">
      <c r="A256" s="48"/>
      <c r="B256" s="48"/>
      <c r="C256" s="48"/>
      <c r="D256" s="48"/>
      <c r="E256" s="48"/>
      <c r="F256" s="48"/>
      <c r="G256" s="48"/>
      <c r="H256" s="48"/>
      <c r="I256" s="48"/>
      <c r="J256" s="145"/>
      <c r="K256" s="145"/>
      <c r="L256" s="48"/>
      <c r="M256" s="136"/>
      <c r="N256" s="155"/>
      <c r="Q256" s="125"/>
      <c r="R256" s="125"/>
      <c r="S256" s="436"/>
      <c r="T256" s="436"/>
      <c r="U256" s="147"/>
    </row>
    <row r="257" spans="1:21" s="144" customFormat="1" ht="18" customHeight="1" x14ac:dyDescent="0.25">
      <c r="A257" s="48"/>
      <c r="B257" s="48"/>
      <c r="C257" s="48"/>
      <c r="D257" s="48"/>
      <c r="E257" s="48"/>
      <c r="F257" s="48"/>
      <c r="G257" s="48"/>
      <c r="H257" s="48"/>
      <c r="I257" s="48"/>
      <c r="J257" s="145"/>
      <c r="K257" s="145"/>
      <c r="L257" s="48"/>
      <c r="M257" s="136"/>
      <c r="N257" s="155"/>
      <c r="Q257" s="125"/>
      <c r="R257" s="125"/>
      <c r="S257" s="436"/>
      <c r="T257" s="436"/>
      <c r="U257" s="147"/>
    </row>
    <row r="258" spans="1:21" s="144" customFormat="1" ht="18" customHeight="1" x14ac:dyDescent="0.25">
      <c r="A258" s="48"/>
      <c r="B258" s="48"/>
      <c r="C258" s="48"/>
      <c r="D258" s="48"/>
      <c r="E258" s="48"/>
      <c r="F258" s="48"/>
      <c r="G258" s="48"/>
      <c r="H258" s="48"/>
      <c r="I258" s="48"/>
      <c r="J258" s="145"/>
      <c r="K258" s="145"/>
      <c r="L258" s="48"/>
      <c r="M258" s="136"/>
      <c r="N258" s="155"/>
      <c r="Q258" s="125"/>
      <c r="R258" s="125"/>
      <c r="S258" s="436"/>
      <c r="T258" s="436"/>
      <c r="U258" s="147"/>
    </row>
    <row r="259" spans="1:21" s="144" customFormat="1" ht="18" customHeight="1" x14ac:dyDescent="0.25">
      <c r="A259" s="48"/>
      <c r="B259" s="48"/>
      <c r="C259" s="48"/>
      <c r="D259" s="48"/>
      <c r="E259" s="48"/>
      <c r="F259" s="48"/>
      <c r="G259" s="48"/>
      <c r="H259" s="48"/>
      <c r="I259" s="48"/>
      <c r="J259" s="145"/>
      <c r="K259" s="145"/>
      <c r="L259" s="48"/>
      <c r="M259" s="136"/>
      <c r="N259" s="155"/>
      <c r="Q259" s="125"/>
      <c r="R259" s="125"/>
      <c r="S259" s="436"/>
      <c r="T259" s="436"/>
      <c r="U259" s="147"/>
    </row>
    <row r="260" spans="1:21" s="144" customFormat="1" ht="18" customHeight="1" x14ac:dyDescent="0.25">
      <c r="A260" s="48"/>
      <c r="B260" s="48"/>
      <c r="C260" s="48"/>
      <c r="D260" s="48"/>
      <c r="E260" s="48"/>
      <c r="F260" s="48"/>
      <c r="G260" s="48"/>
      <c r="H260" s="48"/>
      <c r="I260" s="48"/>
      <c r="J260" s="145"/>
      <c r="K260" s="145"/>
      <c r="L260" s="48"/>
      <c r="M260" s="136"/>
      <c r="N260" s="155"/>
      <c r="Q260" s="125"/>
      <c r="R260" s="125"/>
      <c r="S260" s="436"/>
      <c r="T260" s="436"/>
      <c r="U260" s="147"/>
    </row>
    <row r="261" spans="1:21" s="144" customFormat="1" ht="18" customHeight="1" x14ac:dyDescent="0.25">
      <c r="A261" s="48"/>
      <c r="B261" s="48"/>
      <c r="C261" s="48"/>
      <c r="D261" s="48"/>
      <c r="E261" s="48"/>
      <c r="F261" s="48"/>
      <c r="G261" s="48"/>
      <c r="H261" s="48"/>
      <c r="I261" s="48"/>
      <c r="J261" s="145"/>
      <c r="K261" s="145"/>
      <c r="L261" s="48"/>
      <c r="M261" s="136"/>
      <c r="N261" s="155"/>
      <c r="Q261" s="125"/>
      <c r="R261" s="125"/>
      <c r="S261" s="436"/>
      <c r="T261" s="436"/>
      <c r="U261" s="147"/>
    </row>
    <row r="262" spans="1:21" s="144" customFormat="1" ht="18" customHeight="1" x14ac:dyDescent="0.25">
      <c r="A262" s="48"/>
      <c r="B262" s="48"/>
      <c r="C262" s="48"/>
      <c r="D262" s="48"/>
      <c r="E262" s="48"/>
      <c r="F262" s="48"/>
      <c r="G262" s="48"/>
      <c r="H262" s="48"/>
      <c r="I262" s="48"/>
      <c r="J262" s="145"/>
      <c r="K262" s="145"/>
      <c r="L262" s="48"/>
      <c r="M262" s="136"/>
      <c r="N262" s="155"/>
      <c r="Q262" s="125"/>
      <c r="R262" s="125"/>
      <c r="S262" s="436"/>
      <c r="T262" s="436"/>
      <c r="U262" s="147"/>
    </row>
    <row r="263" spans="1:21" s="144" customFormat="1" ht="18" customHeight="1" x14ac:dyDescent="0.25">
      <c r="A263" s="48"/>
      <c r="B263" s="48"/>
      <c r="C263" s="48"/>
      <c r="D263" s="48"/>
      <c r="E263" s="48"/>
      <c r="F263" s="48"/>
      <c r="G263" s="48"/>
      <c r="H263" s="48"/>
      <c r="I263" s="48"/>
      <c r="J263" s="145"/>
      <c r="K263" s="145"/>
      <c r="L263" s="48"/>
      <c r="M263" s="136"/>
      <c r="N263" s="155"/>
      <c r="Q263" s="125"/>
      <c r="R263" s="125"/>
      <c r="S263" s="436"/>
      <c r="T263" s="436"/>
      <c r="U263" s="147"/>
    </row>
    <row r="264" spans="1:21" s="144" customFormat="1" ht="18" customHeight="1" x14ac:dyDescent="0.25">
      <c r="A264" s="48"/>
      <c r="B264" s="48"/>
      <c r="C264" s="48"/>
      <c r="D264" s="48"/>
      <c r="E264" s="48"/>
      <c r="F264" s="48"/>
      <c r="G264" s="48"/>
      <c r="H264" s="48"/>
      <c r="I264" s="48"/>
      <c r="J264" s="145"/>
      <c r="K264" s="145"/>
      <c r="L264" s="48"/>
      <c r="M264" s="136"/>
      <c r="N264" s="155"/>
      <c r="Q264" s="125"/>
      <c r="R264" s="125"/>
      <c r="S264" s="436"/>
      <c r="T264" s="436"/>
      <c r="U264" s="147"/>
    </row>
    <row r="265" spans="1:21" s="144" customFormat="1" ht="18" customHeight="1" x14ac:dyDescent="0.25">
      <c r="A265" s="48"/>
      <c r="B265" s="48"/>
      <c r="C265" s="48"/>
      <c r="D265" s="48"/>
      <c r="E265" s="48"/>
      <c r="F265" s="48"/>
      <c r="G265" s="48"/>
      <c r="H265" s="48"/>
      <c r="I265" s="48"/>
      <c r="J265" s="145"/>
      <c r="K265" s="145"/>
      <c r="L265" s="48"/>
      <c r="M265" s="136"/>
      <c r="N265" s="155"/>
      <c r="Q265" s="125"/>
      <c r="R265" s="125"/>
      <c r="S265" s="436"/>
      <c r="T265" s="436"/>
      <c r="U265" s="147"/>
    </row>
    <row r="266" spans="1:21" s="144" customFormat="1" ht="18" customHeight="1" x14ac:dyDescent="0.25">
      <c r="A266" s="48"/>
      <c r="B266" s="48"/>
      <c r="C266" s="48"/>
      <c r="D266" s="48"/>
      <c r="E266" s="48"/>
      <c r="F266" s="48"/>
      <c r="G266" s="48"/>
      <c r="H266" s="48"/>
      <c r="I266" s="48"/>
      <c r="J266" s="145"/>
      <c r="K266" s="145"/>
      <c r="L266" s="48"/>
      <c r="M266" s="136"/>
      <c r="N266" s="155"/>
      <c r="Q266" s="125"/>
      <c r="R266" s="125"/>
      <c r="S266" s="436"/>
      <c r="T266" s="436"/>
      <c r="U266" s="147"/>
    </row>
    <row r="267" spans="1:21" s="144" customFormat="1" ht="18" customHeight="1" x14ac:dyDescent="0.25">
      <c r="A267" s="48"/>
      <c r="B267" s="48"/>
      <c r="C267" s="48"/>
      <c r="D267" s="48"/>
      <c r="E267" s="48"/>
      <c r="F267" s="48"/>
      <c r="G267" s="48"/>
      <c r="H267" s="48"/>
      <c r="I267" s="48"/>
      <c r="J267" s="145"/>
      <c r="K267" s="145"/>
      <c r="L267" s="48"/>
      <c r="M267" s="136"/>
      <c r="N267" s="155"/>
      <c r="Q267" s="125"/>
      <c r="R267" s="125"/>
      <c r="S267" s="436"/>
      <c r="T267" s="436"/>
      <c r="U267" s="147"/>
    </row>
    <row r="268" spans="1:21" s="144" customFormat="1" ht="18" customHeight="1" x14ac:dyDescent="0.25">
      <c r="A268" s="48"/>
      <c r="B268" s="48"/>
      <c r="C268" s="48"/>
      <c r="D268" s="48"/>
      <c r="E268" s="48"/>
      <c r="F268" s="48"/>
      <c r="G268" s="48"/>
      <c r="H268" s="48"/>
      <c r="I268" s="48"/>
      <c r="J268" s="145"/>
      <c r="K268" s="145"/>
      <c r="L268" s="48"/>
      <c r="M268" s="136"/>
      <c r="N268" s="155"/>
      <c r="Q268" s="125"/>
      <c r="R268" s="125"/>
      <c r="S268" s="436"/>
      <c r="T268" s="436"/>
      <c r="U268" s="147"/>
    </row>
    <row r="269" spans="1:21" s="144" customFormat="1" ht="18" customHeight="1" x14ac:dyDescent="0.25">
      <c r="A269" s="48"/>
      <c r="B269" s="48"/>
      <c r="C269" s="48"/>
      <c r="D269" s="48"/>
      <c r="E269" s="48"/>
      <c r="F269" s="48"/>
      <c r="G269" s="48"/>
      <c r="H269" s="48"/>
      <c r="I269" s="48"/>
      <c r="J269" s="145"/>
      <c r="K269" s="145"/>
      <c r="L269" s="48"/>
      <c r="M269" s="136"/>
      <c r="N269" s="155"/>
      <c r="Q269" s="125"/>
      <c r="R269" s="125"/>
      <c r="S269" s="436"/>
      <c r="T269" s="436"/>
      <c r="U269" s="147"/>
    </row>
    <row r="270" spans="1:21" s="144" customFormat="1" ht="18" customHeight="1" x14ac:dyDescent="0.25">
      <c r="A270" s="48"/>
      <c r="B270" s="48"/>
      <c r="C270" s="48"/>
      <c r="D270" s="48"/>
      <c r="E270" s="48"/>
      <c r="F270" s="48"/>
      <c r="G270" s="48"/>
      <c r="H270" s="48"/>
      <c r="I270" s="48"/>
      <c r="J270" s="145"/>
      <c r="K270" s="145"/>
      <c r="L270" s="48"/>
      <c r="M270" s="136"/>
      <c r="N270" s="155"/>
      <c r="Q270" s="125"/>
      <c r="R270" s="125"/>
      <c r="S270" s="436"/>
      <c r="T270" s="436"/>
      <c r="U270" s="147"/>
    </row>
    <row r="271" spans="1:21" s="144" customFormat="1" ht="18" customHeight="1" x14ac:dyDescent="0.25">
      <c r="A271" s="48"/>
      <c r="B271" s="48"/>
      <c r="C271" s="48"/>
      <c r="D271" s="48"/>
      <c r="E271" s="48"/>
      <c r="F271" s="48"/>
      <c r="G271" s="48"/>
      <c r="H271" s="48"/>
      <c r="I271" s="48"/>
      <c r="J271" s="145"/>
      <c r="K271" s="145"/>
      <c r="L271" s="48"/>
      <c r="M271" s="136"/>
      <c r="N271" s="155"/>
      <c r="Q271" s="125"/>
      <c r="R271" s="125"/>
      <c r="S271" s="436"/>
      <c r="T271" s="436"/>
      <c r="U271" s="147"/>
    </row>
    <row r="272" spans="1:21" s="144" customFormat="1" ht="18" customHeight="1" x14ac:dyDescent="0.25">
      <c r="A272" s="48"/>
      <c r="B272" s="48"/>
      <c r="C272" s="48"/>
      <c r="D272" s="48"/>
      <c r="E272" s="48"/>
      <c r="F272" s="48"/>
      <c r="G272" s="48"/>
      <c r="H272" s="48"/>
      <c r="I272" s="48"/>
      <c r="J272" s="145"/>
      <c r="K272" s="145"/>
      <c r="L272" s="48"/>
      <c r="M272" s="136"/>
      <c r="N272" s="155"/>
      <c r="Q272" s="125"/>
      <c r="R272" s="125"/>
      <c r="S272" s="436"/>
      <c r="T272" s="436"/>
      <c r="U272" s="147"/>
    </row>
    <row r="273" spans="1:21" s="144" customFormat="1" ht="18" customHeight="1" x14ac:dyDescent="0.25">
      <c r="A273" s="48"/>
      <c r="B273" s="48"/>
      <c r="C273" s="48"/>
      <c r="D273" s="48"/>
      <c r="E273" s="48"/>
      <c r="F273" s="48"/>
      <c r="G273" s="48"/>
      <c r="H273" s="48"/>
      <c r="I273" s="48"/>
      <c r="J273" s="145"/>
      <c r="K273" s="145"/>
      <c r="L273" s="48"/>
      <c r="M273" s="136"/>
      <c r="N273" s="155"/>
      <c r="Q273" s="125"/>
      <c r="R273" s="125"/>
      <c r="S273" s="436"/>
      <c r="T273" s="436"/>
      <c r="U273" s="147"/>
    </row>
    <row r="274" spans="1:21" s="144" customFormat="1" ht="18" customHeight="1" x14ac:dyDescent="0.25">
      <c r="A274" s="48"/>
      <c r="B274" s="48"/>
      <c r="C274" s="48"/>
      <c r="D274" s="48"/>
      <c r="E274" s="48"/>
      <c r="F274" s="48"/>
      <c r="G274" s="48"/>
      <c r="H274" s="48"/>
      <c r="I274" s="48"/>
      <c r="J274" s="145"/>
      <c r="K274" s="145"/>
      <c r="L274" s="48"/>
      <c r="M274" s="136"/>
      <c r="N274" s="155"/>
      <c r="Q274" s="125"/>
      <c r="R274" s="125"/>
      <c r="S274" s="436"/>
      <c r="T274" s="436"/>
      <c r="U274" s="147"/>
    </row>
    <row r="275" spans="1:21" s="144" customFormat="1" ht="18" customHeight="1" x14ac:dyDescent="0.25">
      <c r="A275" s="48"/>
      <c r="B275" s="48"/>
      <c r="C275" s="48"/>
      <c r="D275" s="48"/>
      <c r="E275" s="48"/>
      <c r="F275" s="48"/>
      <c r="G275" s="48"/>
      <c r="H275" s="48"/>
      <c r="I275" s="48"/>
      <c r="J275" s="145"/>
      <c r="K275" s="145"/>
      <c r="L275" s="48"/>
      <c r="M275" s="136"/>
      <c r="N275" s="155"/>
      <c r="Q275" s="125"/>
      <c r="R275" s="125"/>
      <c r="S275" s="436"/>
      <c r="T275" s="436"/>
      <c r="U275" s="147"/>
    </row>
    <row r="276" spans="1:21" s="144" customFormat="1" ht="18" customHeight="1" x14ac:dyDescent="0.25">
      <c r="A276" s="48"/>
      <c r="B276" s="48"/>
      <c r="C276" s="48"/>
      <c r="D276" s="48"/>
      <c r="E276" s="48"/>
      <c r="F276" s="48"/>
      <c r="G276" s="48"/>
      <c r="H276" s="48"/>
      <c r="I276" s="48"/>
      <c r="J276" s="145"/>
      <c r="K276" s="145"/>
      <c r="L276" s="48"/>
      <c r="M276" s="136"/>
      <c r="N276" s="155"/>
      <c r="Q276" s="125"/>
      <c r="R276" s="125"/>
      <c r="S276" s="436"/>
      <c r="T276" s="436"/>
      <c r="U276" s="147"/>
    </row>
    <row r="277" spans="1:21" s="144" customFormat="1" ht="18" customHeight="1" x14ac:dyDescent="0.25">
      <c r="A277" s="48"/>
      <c r="B277" s="48"/>
      <c r="C277" s="48"/>
      <c r="D277" s="48"/>
      <c r="E277" s="48"/>
      <c r="F277" s="48"/>
      <c r="G277" s="48"/>
      <c r="H277" s="48"/>
      <c r="I277" s="48"/>
      <c r="J277" s="145"/>
      <c r="K277" s="145"/>
      <c r="L277" s="48"/>
      <c r="M277" s="136"/>
      <c r="N277" s="155"/>
      <c r="Q277" s="125"/>
      <c r="R277" s="125"/>
      <c r="S277" s="436"/>
      <c r="T277" s="436"/>
      <c r="U277" s="147"/>
    </row>
    <row r="278" spans="1:21" s="144" customFormat="1" ht="18" customHeight="1" x14ac:dyDescent="0.25">
      <c r="A278" s="48"/>
      <c r="B278" s="48"/>
      <c r="C278" s="48"/>
      <c r="D278" s="48"/>
      <c r="E278" s="48"/>
      <c r="F278" s="48"/>
      <c r="G278" s="48"/>
      <c r="H278" s="48"/>
      <c r="I278" s="48"/>
      <c r="J278" s="145"/>
      <c r="K278" s="145"/>
      <c r="L278" s="48"/>
      <c r="M278" s="136"/>
      <c r="N278" s="155"/>
      <c r="Q278" s="125"/>
      <c r="R278" s="125"/>
      <c r="S278" s="436"/>
      <c r="T278" s="436"/>
      <c r="U278" s="147"/>
    </row>
  </sheetData>
  <sheetProtection algorithmName="SHA-512" hashValue="pkO4U7/gFCzigizbVrz4HH3/Mdrjm/EfldFsD6enVJw9TLHdCG3+RylKaIohww3RXCD1JxWMyj/7U+4GyzAnhQ==" saltValue="tmly1mju95QioCHwxudv1w==" spinCount="100000" sheet="1" objects="1" scenarios="1"/>
  <mergeCells count="31">
    <mergeCell ref="A21:L21"/>
    <mergeCell ref="D11:D12"/>
    <mergeCell ref="J11:J12"/>
    <mergeCell ref="B9:L9"/>
    <mergeCell ref="B8:L8"/>
    <mergeCell ref="A25:L25"/>
    <mergeCell ref="A24:L24"/>
    <mergeCell ref="A23:L23"/>
    <mergeCell ref="A22:L22"/>
    <mergeCell ref="A26:K26"/>
    <mergeCell ref="B6:L6"/>
    <mergeCell ref="B5:L5"/>
    <mergeCell ref="B4:L4"/>
    <mergeCell ref="B3:L3"/>
    <mergeCell ref="A2:L2"/>
    <mergeCell ref="A1:L1"/>
    <mergeCell ref="H27:H28"/>
    <mergeCell ref="I27:I28"/>
    <mergeCell ref="J27:J28"/>
    <mergeCell ref="A27:A28"/>
    <mergeCell ref="B27:B28"/>
    <mergeCell ref="C27:C28"/>
    <mergeCell ref="G27:G28"/>
    <mergeCell ref="D27:D28"/>
    <mergeCell ref="A11:A12"/>
    <mergeCell ref="B11:B12"/>
    <mergeCell ref="C11:C12"/>
    <mergeCell ref="G11:G12"/>
    <mergeCell ref="H11:H12"/>
    <mergeCell ref="I11:I12"/>
    <mergeCell ref="B7:L7"/>
  </mergeCells>
  <conditionalFormatting sqref="D29:K60">
    <cfRule type="expression" dxfId="43" priority="1">
      <formula>AND($A29="",NOT($B29=""),NOT($C29=""))</formula>
    </cfRule>
  </conditionalFormatting>
  <conditionalFormatting sqref="I29:J60 E29:F60">
    <cfRule type="expression" dxfId="42" priority="4">
      <formula>AND(NOT($A29=""),NOT($B29=""),NOT($C29=""),ISBLANK(E29))</formula>
    </cfRule>
  </conditionalFormatting>
  <conditionalFormatting sqref="I29:J60">
    <cfRule type="expression" dxfId="41" priority="2">
      <formula>E29="NO"</formula>
    </cfRule>
  </conditionalFormatting>
  <dataValidations disablePrompts="1" count="5">
    <dataValidation type="list" showInputMessage="1" showErrorMessage="1" errorTitle="Error." error="Must select a control device!" promptTitle="Control Device" prompt="If you agreed to control emissions, indicate the type of control device used." sqref="J13:J19" xr:uid="{00000000-0002-0000-1200-000000000000}">
      <formula1>$Z$29:$Z$31</formula1>
    </dataValidation>
    <dataValidation type="list" showInputMessage="1" showErrorMessage="1" errorTitle="Error." error="Must select either &quot;Yes&quot; or &quot;No&quot;!" promptTitle="Throughput Limit" prompt="Indicate whether you agreed to limit throughput of this material in Table 6-A." sqref="E13:F19" xr:uid="{00000000-0002-0000-1200-000001000000}">
      <formula1>$W$29:$W$30</formula1>
    </dataValidation>
    <dataValidation type="list" errorStyle="warning" showInputMessage="1" showErrorMessage="1" errorTitle="Error." error="Must select either &quot;Yes&quot; or &quot;No&quot;!" promptTitle="Throughput Limit" prompt="Indicate whether you agreed to limit throughput of this material in Table 6-A." sqref="E29:F60" xr:uid="{00000000-0002-0000-1200-000002000000}">
      <formula1>$W$29:$W$30</formula1>
    </dataValidation>
    <dataValidation type="list" errorStyle="warning" showInputMessage="1" showErrorMessage="1" errorTitle="Error." error="Must select a control device!" promptTitle="Control Device" prompt="If you agreed to control emissions, indicate the type of control device used." sqref="J29:J60" xr:uid="{00000000-0002-0000-1200-000003000000}">
      <formula1>$Z$29:$Z$31</formula1>
    </dataValidation>
    <dataValidation type="list" showDropDown="1" showInputMessage="1" showErrorMessage="1" errorTitle="Invalid CAS #" error="The CAS # you entered does not match the CAS # for any listed HAP.  Check the number you entered." sqref="C29:D60" xr:uid="{00000000-0002-0000-1200-000004000000}">
      <formula1>$G$4:$G$60</formula1>
    </dataValidation>
  </dataValidations>
  <printOptions horizontalCentered="1"/>
  <pageMargins left="0.5" right="0.5" top="0.5" bottom="0.5" header="0.3" footer="0.3"/>
  <pageSetup scale="72" fitToHeight="0" orientation="landscape" r:id="rId1"/>
  <headerFooter>
    <oddFooter>&amp;L&amp;A&amp;RPage &amp;P</oddFooter>
  </headerFooter>
  <drawing r:id="rId2"/>
  <extLst>
    <ext xmlns:x14="http://schemas.microsoft.com/office/spreadsheetml/2009/9/main" uri="{CCE6A557-97BC-4b89-ADB6-D9C93CAAB3DF}">
      <x14:dataValidations xmlns:xm="http://schemas.microsoft.com/office/excel/2006/main" disablePrompts="1" count="1">
        <x14:dataValidation type="list" showDropDown="1" showInputMessage="1" showErrorMessage="1" errorTitle="Invalid CAS #" error="The CAS # you entered does not match the CAS # for any listed HAP.  Check the number you entered." xr:uid="{00000000-0002-0000-1200-000005000000}">
          <x14:formula1>
            <xm:f>'HAP CAS &amp; Names'!$F$4:$F$186</xm:f>
          </x14:formula1>
          <xm:sqref>C13:C19 D14:D15 D17:D19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2060"/>
  </sheetPr>
  <dimension ref="A1:Y90"/>
  <sheetViews>
    <sheetView showGridLines="0" zoomScaleNormal="100" workbookViewId="0">
      <selection sqref="A1:F6"/>
    </sheetView>
  </sheetViews>
  <sheetFormatPr defaultRowHeight="18" customHeight="1" x14ac:dyDescent="0.25"/>
  <cols>
    <col min="1" max="1" width="28" style="50" customWidth="1"/>
    <col min="2" max="6" width="16.28515625" style="48" customWidth="1"/>
    <col min="7" max="7" width="5" style="48" customWidth="1"/>
    <col min="8" max="13" width="11.7109375" style="48" customWidth="1"/>
    <col min="14" max="14" width="9.42578125" style="48" bestFit="1" customWidth="1"/>
    <col min="15" max="16384" width="9.140625" style="48"/>
  </cols>
  <sheetData>
    <row r="1" spans="1:19" s="47" customFormat="1" ht="24.95" customHeight="1" x14ac:dyDescent="0.25">
      <c r="A1" s="983"/>
      <c r="B1" s="983"/>
      <c r="C1" s="983"/>
      <c r="D1" s="983"/>
      <c r="E1" s="983"/>
      <c r="F1" s="983"/>
    </row>
    <row r="2" spans="1:19" s="47" customFormat="1" ht="18.95" customHeight="1" x14ac:dyDescent="0.25">
      <c r="A2" s="983"/>
      <c r="B2" s="983"/>
      <c r="C2" s="983"/>
      <c r="D2" s="983"/>
      <c r="E2" s="983"/>
      <c r="F2" s="983"/>
      <c r="G2" s="48"/>
      <c r="H2" s="48"/>
      <c r="I2" s="48"/>
      <c r="J2" s="48"/>
      <c r="K2" s="48"/>
      <c r="L2" s="48"/>
    </row>
    <row r="3" spans="1:19" s="47" customFormat="1" ht="18.95" customHeight="1" x14ac:dyDescent="0.25">
      <c r="A3" s="983"/>
      <c r="B3" s="983"/>
      <c r="C3" s="983"/>
      <c r="D3" s="983"/>
      <c r="E3" s="983"/>
      <c r="F3" s="983"/>
      <c r="G3" s="48"/>
      <c r="H3" s="48"/>
      <c r="I3" s="48"/>
      <c r="J3" s="48"/>
      <c r="K3" s="48"/>
      <c r="L3" s="48"/>
    </row>
    <row r="4" spans="1:19" s="47" customFormat="1" ht="18.95" customHeight="1" x14ac:dyDescent="0.25">
      <c r="A4" s="983"/>
      <c r="B4" s="983"/>
      <c r="C4" s="983"/>
      <c r="D4" s="983"/>
      <c r="E4" s="983"/>
      <c r="F4" s="983"/>
      <c r="G4" s="48"/>
      <c r="H4" s="48"/>
      <c r="I4" s="48"/>
      <c r="J4" s="48"/>
      <c r="K4" s="48"/>
      <c r="L4" s="48"/>
    </row>
    <row r="5" spans="1:19" s="47" customFormat="1" ht="18.95" customHeight="1" x14ac:dyDescent="0.25">
      <c r="A5" s="983"/>
      <c r="B5" s="983"/>
      <c r="C5" s="983"/>
      <c r="D5" s="983"/>
      <c r="E5" s="983"/>
      <c r="F5" s="983"/>
      <c r="G5" s="48"/>
      <c r="H5" s="48"/>
      <c r="I5" s="48"/>
      <c r="J5" s="48"/>
      <c r="K5" s="48"/>
      <c r="L5" s="48"/>
    </row>
    <row r="6" spans="1:19" s="47" customFormat="1" ht="15.95" customHeight="1" x14ac:dyDescent="0.25">
      <c r="A6" s="983"/>
      <c r="B6" s="983"/>
      <c r="C6" s="983"/>
      <c r="D6" s="983"/>
      <c r="E6" s="983"/>
      <c r="F6" s="983"/>
      <c r="G6" s="48"/>
      <c r="H6" s="48"/>
      <c r="I6" s="48"/>
      <c r="J6" s="48"/>
      <c r="K6" s="48"/>
      <c r="L6" s="48"/>
    </row>
    <row r="7" spans="1:19" ht="17.100000000000001" customHeight="1" x14ac:dyDescent="0.25">
      <c r="A7" s="1002" t="s">
        <v>1349</v>
      </c>
      <c r="B7" s="1004" t="s">
        <v>1876</v>
      </c>
      <c r="C7" s="1004"/>
      <c r="D7" s="1004" t="s">
        <v>1877</v>
      </c>
      <c r="E7" s="1004"/>
      <c r="F7" s="1004"/>
    </row>
    <row r="8" spans="1:19" ht="17.100000000000001" customHeight="1" x14ac:dyDescent="0.25">
      <c r="A8" s="1002"/>
      <c r="B8" s="1004" t="s">
        <v>1771</v>
      </c>
      <c r="C8" s="1004"/>
      <c r="D8" s="1004" t="s">
        <v>1878</v>
      </c>
      <c r="E8" s="1004"/>
      <c r="F8" s="1004"/>
      <c r="N8" s="81" t="b">
        <v>0</v>
      </c>
      <c r="O8" s="81" t="b">
        <v>0</v>
      </c>
      <c r="P8" s="81" t="b">
        <v>0</v>
      </c>
      <c r="Q8" s="81" t="b">
        <v>0</v>
      </c>
      <c r="S8" s="126" t="b">
        <f>IF(AND(N8=FALSE,O8=FALSE,P8=FALSE,Q8=FALSE),FALSE,TRUE)</f>
        <v>0</v>
      </c>
    </row>
    <row r="9" spans="1:19" ht="18" customHeight="1" thickBot="1" x14ac:dyDescent="0.3">
      <c r="A9" s="1003" t="s">
        <v>1392</v>
      </c>
      <c r="B9" s="1003"/>
      <c r="C9" s="1003"/>
      <c r="D9" s="1003"/>
      <c r="E9" s="1003"/>
      <c r="F9" s="1003"/>
    </row>
    <row r="10" spans="1:19" ht="24.95" customHeight="1" thickBot="1" x14ac:dyDescent="0.3">
      <c r="A10" s="984" t="s">
        <v>1676</v>
      </c>
      <c r="B10" s="985"/>
      <c r="C10" s="985"/>
      <c r="D10" s="985"/>
      <c r="E10" s="985"/>
      <c r="F10" s="986"/>
    </row>
    <row r="11" spans="1:19" ht="20.100000000000001" customHeight="1" x14ac:dyDescent="0.25">
      <c r="A11" s="35" t="s">
        <v>1338</v>
      </c>
      <c r="B11" s="987"/>
      <c r="C11" s="987"/>
      <c r="D11" s="987"/>
      <c r="E11" s="987"/>
      <c r="F11" s="988"/>
    </row>
    <row r="12" spans="1:19" ht="20.100000000000001" customHeight="1" x14ac:dyDescent="0.25">
      <c r="A12" s="36" t="s">
        <v>1342</v>
      </c>
      <c r="B12" s="989"/>
      <c r="C12" s="989"/>
      <c r="D12" s="989"/>
      <c r="E12" s="989"/>
      <c r="F12" s="990"/>
    </row>
    <row r="13" spans="1:19" ht="20.100000000000001" customHeight="1" x14ac:dyDescent="0.25">
      <c r="A13" s="36" t="s">
        <v>1339</v>
      </c>
      <c r="B13" s="43"/>
      <c r="C13" s="34" t="s">
        <v>1340</v>
      </c>
      <c r="D13" s="44"/>
      <c r="E13" s="34" t="s">
        <v>1341</v>
      </c>
      <c r="F13" s="45"/>
    </row>
    <row r="14" spans="1:19" ht="15" customHeight="1" x14ac:dyDescent="0.25">
      <c r="A14" s="1011" t="s">
        <v>1343</v>
      </c>
      <c r="B14" s="238" t="s">
        <v>1751</v>
      </c>
      <c r="C14" s="1009" t="str">
        <f>IF(AND(N14=TRUE,O14=TRUE),"Too many boxes checked.",IF(N14=TRUE,"If so, name the state where incorporated:",""))</f>
        <v/>
      </c>
      <c r="D14" s="1009"/>
      <c r="E14" s="1005"/>
      <c r="F14" s="1006"/>
      <c r="N14" s="82" t="b">
        <v>0</v>
      </c>
      <c r="O14" s="82" t="b">
        <v>0</v>
      </c>
    </row>
    <row r="15" spans="1:19" ht="15" customHeight="1" thickBot="1" x14ac:dyDescent="0.3">
      <c r="A15" s="1012"/>
      <c r="B15" s="239" t="s">
        <v>1752</v>
      </c>
      <c r="C15" s="1010"/>
      <c r="D15" s="1010"/>
      <c r="E15" s="1007"/>
      <c r="F15" s="1008"/>
    </row>
    <row r="16" spans="1:19" ht="24.95" customHeight="1" thickBot="1" x14ac:dyDescent="0.3">
      <c r="A16" s="984" t="s">
        <v>1677</v>
      </c>
      <c r="B16" s="985"/>
      <c r="C16" s="985"/>
      <c r="D16" s="985"/>
      <c r="E16" s="985"/>
      <c r="F16" s="986"/>
      <c r="N16" s="126" t="b">
        <f>IF(AND($S$8=TRUE,NOT(ISBLANK(B11)),NOT(ISBLANK(B12)),NOT(ISBLANK(B13)),NOT(ISBLANK(D13)),NOT(ISBLANK(F13)),OR(AND(N14=TRUE,O14=FALSE,NOT(ISBLANK(E14))),AND(N14=FALSE,O14=TRUE))),TRUE,FALSE)</f>
        <v>0</v>
      </c>
      <c r="O16" s="942" t="s">
        <v>1718</v>
      </c>
      <c r="P16" s="943"/>
      <c r="Q16" s="943"/>
      <c r="R16" s="943"/>
      <c r="S16" s="944"/>
    </row>
    <row r="17" spans="1:21" ht="20.100000000000001" customHeight="1" thickBot="1" x14ac:dyDescent="0.3">
      <c r="A17" s="35" t="s">
        <v>292</v>
      </c>
      <c r="B17" s="987"/>
      <c r="C17" s="987"/>
      <c r="D17" s="987"/>
      <c r="E17" s="987"/>
      <c r="F17" s="988"/>
    </row>
    <row r="18" spans="1:21" ht="20.100000000000001" customHeight="1" thickBot="1" x14ac:dyDescent="0.3">
      <c r="A18" s="36" t="s">
        <v>293</v>
      </c>
      <c r="B18" s="1000"/>
      <c r="C18" s="1000"/>
      <c r="D18" s="1000"/>
      <c r="E18" s="1000"/>
      <c r="F18" s="1001"/>
      <c r="G18" s="174" t="s">
        <v>1732</v>
      </c>
      <c r="H18" s="1016" t="s">
        <v>1733</v>
      </c>
      <c r="I18" s="1017"/>
      <c r="J18" s="1017"/>
      <c r="K18" s="1017"/>
      <c r="L18" s="1018"/>
    </row>
    <row r="19" spans="1:21" ht="20.100000000000001" customHeight="1" thickBot="1" x14ac:dyDescent="0.3">
      <c r="A19" s="36" t="s">
        <v>294</v>
      </c>
      <c r="B19" s="989"/>
      <c r="C19" s="989"/>
      <c r="D19" s="989"/>
      <c r="E19" s="989"/>
      <c r="F19" s="990"/>
    </row>
    <row r="20" spans="1:21" ht="20.100000000000001" customHeight="1" x14ac:dyDescent="0.25">
      <c r="A20" s="36" t="s">
        <v>295</v>
      </c>
      <c r="B20" s="46"/>
      <c r="C20" s="34" t="s">
        <v>296</v>
      </c>
      <c r="D20" s="33" t="s">
        <v>1746</v>
      </c>
      <c r="E20" s="34" t="s">
        <v>297</v>
      </c>
      <c r="F20" s="45"/>
      <c r="H20" s="974" t="s">
        <v>2387</v>
      </c>
      <c r="I20" s="975"/>
      <c r="J20" s="975"/>
      <c r="K20" s="975"/>
      <c r="L20" s="976"/>
    </row>
    <row r="21" spans="1:21" ht="27" customHeight="1" x14ac:dyDescent="0.25">
      <c r="A21" s="997" t="s">
        <v>298</v>
      </c>
      <c r="B21" s="440"/>
      <c r="C21" s="994" t="str">
        <f>IF(ISBLANK(B21),"",IF(B21&gt;999999,"Invalid Entry",IFERROR(VLOOKUP(B21,'2012NAICS'!$A$3:$B$1067,2),"Invalid Entry")))</f>
        <v/>
      </c>
      <c r="D21" s="995"/>
      <c r="E21" s="995"/>
      <c r="F21" s="996"/>
      <c r="G21" s="888" t="s">
        <v>1364</v>
      </c>
      <c r="H21" s="977"/>
      <c r="I21" s="978"/>
      <c r="J21" s="978"/>
      <c r="K21" s="978"/>
      <c r="L21" s="979"/>
    </row>
    <row r="22" spans="1:21" ht="27" customHeight="1" thickBot="1" x14ac:dyDescent="0.3">
      <c r="A22" s="998"/>
      <c r="B22" s="440"/>
      <c r="C22" s="1025" t="str">
        <f>IF(ISBLANK(B22),"",IF(B22&gt;999999,"Invalid Entry",IFERROR(VLOOKUP(B22,'2012NAICS'!$A$3:$B$1067,2),"Invalid Entry")))</f>
        <v/>
      </c>
      <c r="D22" s="1026"/>
      <c r="E22" s="1026"/>
      <c r="F22" s="1027"/>
      <c r="G22" s="888"/>
      <c r="H22" s="980"/>
      <c r="I22" s="981"/>
      <c r="J22" s="981"/>
      <c r="K22" s="981"/>
      <c r="L22" s="982"/>
    </row>
    <row r="23" spans="1:21" ht="27" customHeight="1" thickBot="1" x14ac:dyDescent="0.3">
      <c r="A23" s="999"/>
      <c r="B23" s="441"/>
      <c r="C23" s="991" t="str">
        <f>IF(ISBLANK(B23),"",IF(B23&gt;999999,"Invalid Entry",IFERROR(VLOOKUP(B23,'2012NAICS'!$A$3:$B$1067,2),"Invalid Entry")))</f>
        <v/>
      </c>
      <c r="D23" s="992"/>
      <c r="E23" s="992"/>
      <c r="F23" s="993"/>
      <c r="G23" s="948"/>
      <c r="H23" s="945" t="s">
        <v>1390</v>
      </c>
      <c r="I23" s="946"/>
      <c r="J23" s="946"/>
      <c r="K23" s="946"/>
      <c r="L23" s="947"/>
      <c r="N23" s="126" t="b">
        <f>IF(AND(N16=TRUE,NOT(ISBLANK(B17)),NOT(ISBLANK(B18)),NOT(ISBLANK(B19)),NOT(ISBLANK(B20)),NOT(ISBLANK(F20)),NOT(ISBLANK(B21))),TRUE,FALSE)</f>
        <v>0</v>
      </c>
    </row>
    <row r="24" spans="1:21" ht="15" customHeight="1" x14ac:dyDescent="0.25">
      <c r="A24" s="1011" t="s">
        <v>1351</v>
      </c>
      <c r="B24" s="238" t="s">
        <v>1751</v>
      </c>
      <c r="C24" s="1052" t="str">
        <f>IF(AND(N24=TRUE,O24=TRUE),"Too many boxes checked.",IF(N24=TRUE,"If so, which state(s)?",""))</f>
        <v/>
      </c>
      <c r="D24" s="1063" t="str">
        <f>IF(AND($N24=FALSE,$O24=TRUE),"","         Iowa")</f>
        <v xml:space="preserve">         Iowa</v>
      </c>
      <c r="E24" s="1063" t="str">
        <f>IF(AND($N24=FALSE,$O24=TRUE),"","         Kansas")</f>
        <v xml:space="preserve">         Kansas</v>
      </c>
      <c r="F24" s="1064" t="str">
        <f>IF(AND($N24=FALSE,$O24=TRUE),"","         Missouri")</f>
        <v xml:space="preserve">         Missouri</v>
      </c>
      <c r="H24" s="965" t="s">
        <v>1879</v>
      </c>
      <c r="I24" s="966"/>
      <c r="J24" s="966"/>
      <c r="K24" s="966"/>
      <c r="L24" s="967"/>
      <c r="N24" s="82" t="b">
        <v>0</v>
      </c>
      <c r="O24" s="82" t="b">
        <v>0</v>
      </c>
      <c r="Q24" s="82" t="b">
        <v>0</v>
      </c>
      <c r="R24" s="82" t="b">
        <v>0</v>
      </c>
      <c r="S24" s="82" t="b">
        <v>0</v>
      </c>
      <c r="U24" s="126" t="b">
        <f>IF(AND(N24=TRUE,O24=TRUE),FALSE,IF(O24=TRUE,TRUE,IF(AND(N24=TRUE,OR(Q24=TRUE,R24=TRUE,S24=TRUE)),TRUE,FALSE)))</f>
        <v>0</v>
      </c>
    </row>
    <row r="25" spans="1:21" ht="15" customHeight="1" x14ac:dyDescent="0.25">
      <c r="A25" s="1054"/>
      <c r="B25" s="240" t="s">
        <v>1752</v>
      </c>
      <c r="C25" s="1053"/>
      <c r="D25" s="1066"/>
      <c r="E25" s="1066"/>
      <c r="F25" s="1067"/>
      <c r="H25" s="968"/>
      <c r="I25" s="969"/>
      <c r="J25" s="969"/>
      <c r="K25" s="969"/>
      <c r="L25" s="970"/>
    </row>
    <row r="26" spans="1:21" ht="15" customHeight="1" x14ac:dyDescent="0.25">
      <c r="A26" s="1055" t="s">
        <v>1337</v>
      </c>
      <c r="B26" s="238" t="s">
        <v>1751</v>
      </c>
      <c r="C26" s="1057" t="str">
        <f>IF(AND(N26=TRUE,O26=TRUE),"Too many boxes checked.",IF(AND(N26=FALSE,O26=TRUE),"",IF(N26=TRUE,"If yes, provide the following information:","")))</f>
        <v/>
      </c>
      <c r="D26" s="1057"/>
      <c r="E26" s="1057"/>
      <c r="F26" s="1058"/>
      <c r="H26" s="968"/>
      <c r="I26" s="969"/>
      <c r="J26" s="969"/>
      <c r="K26" s="969"/>
      <c r="L26" s="970"/>
      <c r="N26" s="82" t="b">
        <v>0</v>
      </c>
      <c r="O26" s="82" t="b">
        <v>0</v>
      </c>
    </row>
    <row r="27" spans="1:21" ht="15" customHeight="1" x14ac:dyDescent="0.25">
      <c r="A27" s="1056"/>
      <c r="B27" s="240" t="s">
        <v>1752</v>
      </c>
      <c r="C27" s="1059"/>
      <c r="D27" s="1059"/>
      <c r="E27" s="1059"/>
      <c r="F27" s="1060"/>
      <c r="H27" s="968"/>
      <c r="I27" s="969"/>
      <c r="J27" s="969"/>
      <c r="K27" s="969"/>
      <c r="L27" s="970"/>
    </row>
    <row r="28" spans="1:21" ht="20.100000000000001" customHeight="1" x14ac:dyDescent="0.25">
      <c r="A28" s="36" t="str">
        <f>IF(AND(N26=FALSE,O26=TRUE),"","Property Owner Name:")</f>
        <v>Property Owner Name:</v>
      </c>
      <c r="B28" s="908"/>
      <c r="C28" s="908"/>
      <c r="D28" s="908"/>
      <c r="E28" s="908"/>
      <c r="F28" s="909"/>
      <c r="H28" s="968"/>
      <c r="I28" s="969"/>
      <c r="J28" s="969"/>
      <c r="K28" s="969"/>
      <c r="L28" s="970"/>
    </row>
    <row r="29" spans="1:21" ht="20.100000000000001" customHeight="1" x14ac:dyDescent="0.25">
      <c r="A29" s="36" t="str">
        <f>IF(AND(N26=FALSE,O26=TRUE),"","Property Owner Address:")</f>
        <v>Property Owner Address:</v>
      </c>
      <c r="B29" s="989"/>
      <c r="C29" s="989"/>
      <c r="D29" s="989"/>
      <c r="E29" s="989"/>
      <c r="F29" s="990"/>
      <c r="H29" s="968"/>
      <c r="I29" s="969"/>
      <c r="J29" s="969"/>
      <c r="K29" s="969"/>
      <c r="L29" s="970"/>
    </row>
    <row r="30" spans="1:21" ht="20.100000000000001" customHeight="1" thickBot="1" x14ac:dyDescent="0.3">
      <c r="A30" s="36" t="str">
        <f>IF(AND(N26=FALSE,O26=TRUE),"","Property Owner City:")</f>
        <v>Property Owner City:</v>
      </c>
      <c r="B30" s="43"/>
      <c r="C30" s="34" t="str">
        <f>IF(AND(N26=FALSE,O26=TRUE),"","State:")</f>
        <v>State:</v>
      </c>
      <c r="D30" s="44"/>
      <c r="E30" s="34" t="str">
        <f>IF(AND(N26=FALSE,O26=TRUE),"","ZIP:")</f>
        <v>ZIP:</v>
      </c>
      <c r="F30" s="45"/>
      <c r="H30" s="968"/>
      <c r="I30" s="969"/>
      <c r="J30" s="969"/>
      <c r="K30" s="969"/>
      <c r="L30" s="970"/>
    </row>
    <row r="31" spans="1:21" ht="24.95" customHeight="1" thickBot="1" x14ac:dyDescent="0.3">
      <c r="A31" s="984" t="s">
        <v>1678</v>
      </c>
      <c r="B31" s="985"/>
      <c r="C31" s="985"/>
      <c r="D31" s="985"/>
      <c r="E31" s="985"/>
      <c r="F31" s="986"/>
      <c r="H31" s="968"/>
      <c r="I31" s="969"/>
      <c r="J31" s="969"/>
      <c r="K31" s="969"/>
      <c r="L31" s="970"/>
      <c r="N31" s="126" t="b">
        <f>IF(AND(N16=TRUE,N23=TRUE,U24=TRUE,N26=TRUE,O26=FALSE,NOT(ISBLANK(B28)),NOT(ISBLANK(B29)),NOT(ISBLANK(B30)),NOT(ISBLANK(D30)),NOT(ISBLANK(F30))),TRUE,IF(AND(N16=TRUE,N26=FALSE,O26=TRUE,U24=TRUE),TRUE,FALSE))</f>
        <v>0</v>
      </c>
      <c r="O31" s="942" t="s">
        <v>1721</v>
      </c>
      <c r="P31" s="943"/>
      <c r="Q31" s="943"/>
      <c r="R31" s="943"/>
      <c r="S31" s="944"/>
    </row>
    <row r="32" spans="1:21" ht="20.100000000000001" customHeight="1" thickBot="1" x14ac:dyDescent="0.3">
      <c r="A32" s="36" t="s">
        <v>1344</v>
      </c>
      <c r="B32" s="1030"/>
      <c r="C32" s="1031"/>
      <c r="D32" s="1031"/>
      <c r="E32" s="1031"/>
      <c r="F32" s="1032"/>
      <c r="H32" s="971"/>
      <c r="I32" s="972"/>
      <c r="J32" s="972"/>
      <c r="K32" s="972"/>
      <c r="L32" s="973"/>
    </row>
    <row r="33" spans="1:19" ht="27.95" customHeight="1" x14ac:dyDescent="0.25">
      <c r="A33" s="37" t="s">
        <v>1348</v>
      </c>
      <c r="B33" s="1033"/>
      <c r="C33" s="1034"/>
      <c r="D33" s="1034"/>
      <c r="E33" s="1034"/>
      <c r="F33" s="1035"/>
    </row>
    <row r="34" spans="1:19" ht="20.100000000000001" customHeight="1" x14ac:dyDescent="0.25">
      <c r="A34" s="36" t="s">
        <v>1346</v>
      </c>
      <c r="B34" s="904"/>
      <c r="C34" s="905"/>
      <c r="D34" s="34" t="s">
        <v>1345</v>
      </c>
      <c r="E34" s="1028"/>
      <c r="F34" s="1029"/>
    </row>
    <row r="35" spans="1:19" ht="27.95" customHeight="1" x14ac:dyDescent="0.25">
      <c r="A35" s="37" t="s">
        <v>1413</v>
      </c>
      <c r="B35" s="904"/>
      <c r="C35" s="905"/>
      <c r="D35" s="83" t="s">
        <v>1414</v>
      </c>
      <c r="E35" s="1036"/>
      <c r="F35" s="1037"/>
      <c r="N35" s="126" t="b">
        <f>IF(AND(N31=TRUE,NOT(ISBLANK(B32)),NOT(ISBLANK(B33)),NOT(ISBLANK(B34)),NOT(ISBLANK(E34))),TRUE,FALSE)</f>
        <v>0</v>
      </c>
      <c r="O35" s="942" t="s">
        <v>1719</v>
      </c>
      <c r="P35" s="943"/>
      <c r="Q35" s="943"/>
      <c r="R35" s="943"/>
      <c r="S35" s="944"/>
    </row>
    <row r="36" spans="1:19" ht="21.95" customHeight="1" x14ac:dyDescent="0.25">
      <c r="A36" s="1050" t="s">
        <v>1347</v>
      </c>
      <c r="B36" s="1043" t="s">
        <v>1753</v>
      </c>
      <c r="C36" s="1043"/>
      <c r="D36" s="1046" t="str">
        <f>IF(AND(N36=TRUE,O36=TRUE),"Too many boxes checked.",IF(O36=TRUE,"If other, provide the following information:",""))</f>
        <v/>
      </c>
      <c r="E36" s="1046"/>
      <c r="F36" s="1047"/>
      <c r="N36" s="82" t="b">
        <v>0</v>
      </c>
      <c r="O36" s="82" t="b">
        <v>0</v>
      </c>
    </row>
    <row r="37" spans="1:19" ht="21.95" customHeight="1" x14ac:dyDescent="0.25">
      <c r="A37" s="1051"/>
      <c r="B37" s="1061" t="s">
        <v>1754</v>
      </c>
      <c r="C37" s="1062"/>
      <c r="D37" s="1048"/>
      <c r="E37" s="1048"/>
      <c r="F37" s="1049"/>
    </row>
    <row r="38" spans="1:19" ht="20.100000000000001" customHeight="1" x14ac:dyDescent="0.25">
      <c r="A38" s="36" t="str">
        <f>IF(AND(N36=TRUE,O36=FALSE),"","Primary Contact Person:")</f>
        <v>Primary Contact Person:</v>
      </c>
      <c r="B38" s="1033"/>
      <c r="C38" s="1034"/>
      <c r="D38" s="1034"/>
      <c r="E38" s="1034"/>
      <c r="F38" s="1035"/>
    </row>
    <row r="39" spans="1:19" ht="27.95" customHeight="1" x14ac:dyDescent="0.25">
      <c r="A39" s="37" t="str">
        <f>IF(AND(N36=TRUE,O36=FALSE),"","Primary Contact Person Company: (if different)")</f>
        <v>Primary Contact Person Company: (if different)</v>
      </c>
      <c r="B39" s="1033"/>
      <c r="C39" s="1034"/>
      <c r="D39" s="1034"/>
      <c r="E39" s="1034"/>
      <c r="F39" s="1035"/>
    </row>
    <row r="40" spans="1:19" ht="20.100000000000001" customHeight="1" x14ac:dyDescent="0.25">
      <c r="A40" s="36" t="str">
        <f>IF(AND(N36=TRUE,O36=FALSE),"","Phone Number:")</f>
        <v>Phone Number:</v>
      </c>
      <c r="B40" s="904"/>
      <c r="C40" s="905"/>
      <c r="D40" s="34" t="str">
        <f>IF(AND(N36=TRUE,O36=FALSE),"","E-Mail:")</f>
        <v>E-Mail:</v>
      </c>
      <c r="E40" s="906"/>
      <c r="F40" s="907"/>
    </row>
    <row r="41" spans="1:19" ht="27.95" customHeight="1" thickBot="1" x14ac:dyDescent="0.3">
      <c r="A41" s="37" t="str">
        <f>IF(AND(N36=TRUE,O36=FALSE),"","Alternate Phone Number: (optional)")</f>
        <v>Alternate Phone Number: (optional)</v>
      </c>
      <c r="B41" s="904"/>
      <c r="C41" s="905"/>
      <c r="D41" s="83" t="str">
        <f>IF(AND(N36=TRUE,O36=FALSE),"","Fax Number: (optional)")</f>
        <v>Fax Number: (optional)</v>
      </c>
      <c r="E41" s="1036"/>
      <c r="F41" s="1037"/>
      <c r="N41" s="126" t="b">
        <f>IF(OR(AND(N31=TRUE,O36=TRUE,N36=FALSE,NOT(ISBLANK(B38)),NOT(ISBLANK(B40)),NOT(ISBLANK(E40))),AND(N36=TRUE,O36=FALSE)),TRUE,FALSE)</f>
        <v>0</v>
      </c>
      <c r="O41" s="942" t="s">
        <v>1720</v>
      </c>
      <c r="P41" s="943"/>
      <c r="Q41" s="943"/>
      <c r="R41" s="943"/>
      <c r="S41" s="944"/>
    </row>
    <row r="42" spans="1:19" ht="24.95" customHeight="1" thickBot="1" x14ac:dyDescent="0.3">
      <c r="A42" s="984" t="s">
        <v>1679</v>
      </c>
      <c r="B42" s="985"/>
      <c r="C42" s="985"/>
      <c r="D42" s="985"/>
      <c r="E42" s="985"/>
      <c r="F42" s="986"/>
      <c r="N42" s="126" t="b">
        <f>IF(AND(N31=TRUE,N35=TRUE,N41=TRUE),TRUE,FALSE)</f>
        <v>0</v>
      </c>
      <c r="O42" s="942" t="s">
        <v>1722</v>
      </c>
      <c r="P42" s="943"/>
      <c r="Q42" s="943"/>
      <c r="R42" s="943"/>
      <c r="S42" s="944"/>
    </row>
    <row r="43" spans="1:19" ht="20.100000000000001" customHeight="1" x14ac:dyDescent="0.25">
      <c r="A43" s="1040" t="s">
        <v>1350</v>
      </c>
      <c r="B43" s="1041"/>
      <c r="C43" s="1041"/>
      <c r="D43" s="1042"/>
      <c r="E43" s="234" t="s">
        <v>1751</v>
      </c>
      <c r="F43" s="235" t="s">
        <v>1752</v>
      </c>
      <c r="G43" s="949" t="str">
        <f>IF(AND(N43=TRUE,O43=TRUE),"Too many boxes checked.","")</f>
        <v/>
      </c>
      <c r="H43" s="950"/>
      <c r="I43" s="950"/>
      <c r="J43" s="950"/>
      <c r="N43" s="82" t="b">
        <v>0</v>
      </c>
      <c r="O43" s="82" t="b">
        <v>0</v>
      </c>
    </row>
    <row r="44" spans="1:19" ht="20.100000000000001" customHeight="1" x14ac:dyDescent="0.25">
      <c r="A44" s="931" t="str">
        <f>IF(AND(N43=FALSE,O43=TRUE),"","If so, what type of operating permit does the facility hold?")</f>
        <v>If so, what type of operating permit does the facility hold?</v>
      </c>
      <c r="B44" s="932"/>
      <c r="C44" s="1065" t="str">
        <f>IF(AND(N43=FALSE,O43=TRUE),"","       Class I (Title V) - Major Source")</f>
        <v xml:space="preserve">       Class I (Title V) - Major Source</v>
      </c>
      <c r="D44" s="1063"/>
      <c r="E44" s="1063" t="str">
        <f>IF(AND(N43=FALSE,O43=TRUE),"","       Class II - Minor Source")</f>
        <v xml:space="preserve">       Class II - Minor Source</v>
      </c>
      <c r="F44" s="1064"/>
      <c r="G44" s="949" t="str">
        <f>IF(OR(AND(N44=TRUE,O44=TRUE),AND(N44=TRUE,P44=TRUE),AND(O44=TRUE,P44=TRUE)),"Too many boxes checked.","")</f>
        <v/>
      </c>
      <c r="H44" s="950"/>
      <c r="I44" s="950"/>
      <c r="J44" s="950"/>
      <c r="N44" s="82" t="b">
        <v>0</v>
      </c>
      <c r="O44" s="82" t="b">
        <v>0</v>
      </c>
      <c r="P44" s="82" t="b">
        <v>0</v>
      </c>
    </row>
    <row r="45" spans="1:19" ht="20.100000000000001" customHeight="1" x14ac:dyDescent="0.25">
      <c r="A45" s="933"/>
      <c r="B45" s="934"/>
      <c r="C45" s="1068" t="str">
        <f>IF(AND(N43=FALSE,O43=TRUE),"","       Class II - Synthetic Minor Source")</f>
        <v xml:space="preserve">       Class II - Synthetic Minor Source</v>
      </c>
      <c r="D45" s="1066"/>
      <c r="E45" s="1066"/>
      <c r="F45" s="1067"/>
      <c r="G45" s="949" t="str">
        <f>IF(AND(N45=TRUE,O45=TRUE),"Too many boxes checked.","")</f>
        <v/>
      </c>
      <c r="H45" s="950"/>
      <c r="I45" s="950"/>
      <c r="J45" s="950"/>
      <c r="N45" s="126" t="b">
        <f>IF(AND(N41=TRUE,N43=TRUE,O43=FALSE,OR(AND(N44=TRUE,O44=FALSE,P44=FALSE),AND(N44=FALSE,O44=TRUE,P44=FALSE),AND(N44=FALSE,O44=FALSE,P44=TRUE))),TRUE,IF(AND(N41=TRUE,N43=FALSE,O43=TRUE),TRUE,FALSE))</f>
        <v>0</v>
      </c>
      <c r="O45" s="942" t="s">
        <v>1723</v>
      </c>
      <c r="P45" s="943"/>
      <c r="Q45" s="943"/>
      <c r="R45" s="943"/>
      <c r="S45" s="944"/>
    </row>
    <row r="46" spans="1:19" ht="20.100000000000001" customHeight="1" x14ac:dyDescent="0.25">
      <c r="A46" s="935" t="str">
        <f>IF(AND(N43=FALSE,O43=TRUE),"","What is the expiration date of the operating permit you currently hold?")</f>
        <v>What is the expiration date of the operating permit you currently hold?</v>
      </c>
      <c r="B46" s="936"/>
      <c r="C46" s="936"/>
      <c r="D46" s="937"/>
      <c r="E46" s="938"/>
      <c r="F46" s="939"/>
      <c r="N46" s="126" t="b">
        <f>IF(AND(N45=TRUE,NOT(ISBLANK(E46))),TRUE,FALSE)</f>
        <v>0</v>
      </c>
      <c r="O46" s="942" t="s">
        <v>1724</v>
      </c>
      <c r="P46" s="943"/>
      <c r="Q46" s="943"/>
      <c r="R46" s="943"/>
      <c r="S46" s="944"/>
    </row>
    <row r="47" spans="1:19" ht="30" customHeight="1" x14ac:dyDescent="0.25">
      <c r="A47" s="931" t="s">
        <v>1352</v>
      </c>
      <c r="B47" s="1038"/>
      <c r="C47" s="1038"/>
      <c r="D47" s="932"/>
      <c r="E47" s="236" t="s">
        <v>1751</v>
      </c>
      <c r="F47" s="237" t="s">
        <v>1752</v>
      </c>
      <c r="G47" s="949" t="str">
        <f>IF(AND(N47=TRUE,O47=TRUE),"Too many boxes checked.","")</f>
        <v/>
      </c>
      <c r="H47" s="950"/>
      <c r="I47" s="950"/>
      <c r="J47" s="950"/>
      <c r="N47" s="82" t="b">
        <v>0</v>
      </c>
      <c r="O47" s="82" t="b">
        <v>0</v>
      </c>
    </row>
    <row r="48" spans="1:19" ht="17.100000000000001" customHeight="1" x14ac:dyDescent="0.25">
      <c r="A48" s="931" t="str">
        <f>IF(AND(N47=FALSE,O47=TRUE),"","If so, list the numbers for all currently effective construction permits.  Do not include superceded permits.")</f>
        <v>If so, list the numbers for all currently effective construction permits.  Do not include superceded permits.</v>
      </c>
      <c r="B48" s="1038"/>
      <c r="C48" s="932"/>
      <c r="D48" s="39"/>
      <c r="E48" s="39"/>
      <c r="F48" s="40"/>
      <c r="N48" s="126" t="b">
        <f>IF(OR(AND(N47=FALSE,O47=TRUE),AND(N47=TRUE,O47=FALSE,NOT(ISBLANK(D48)))),TRUE,FALSE)</f>
        <v>0</v>
      </c>
      <c r="O48" s="942" t="s">
        <v>1725</v>
      </c>
      <c r="P48" s="943"/>
      <c r="Q48" s="943"/>
      <c r="R48" s="943"/>
      <c r="S48" s="944"/>
    </row>
    <row r="49" spans="1:24" ht="17.100000000000001" customHeight="1" x14ac:dyDescent="0.25">
      <c r="A49" s="933"/>
      <c r="B49" s="1039"/>
      <c r="C49" s="934"/>
      <c r="D49" s="41"/>
      <c r="E49" s="41"/>
      <c r="F49" s="42"/>
    </row>
    <row r="50" spans="1:24" ht="20.100000000000001" customHeight="1" x14ac:dyDescent="0.25">
      <c r="A50" s="931" t="s">
        <v>1353</v>
      </c>
      <c r="B50" s="1038"/>
      <c r="C50" s="1065" t="s">
        <v>1881</v>
      </c>
      <c r="D50" s="1063"/>
      <c r="E50" s="1063" t="s">
        <v>1882</v>
      </c>
      <c r="F50" s="1064"/>
      <c r="G50" s="951" t="str">
        <f>IF(AND(S50=TRUE,N51=TRUE),"Your permit type will be determined later in the application.","")</f>
        <v/>
      </c>
      <c r="H50" s="952"/>
      <c r="I50" s="952"/>
      <c r="J50" s="952"/>
      <c r="K50" s="952"/>
      <c r="L50" s="952"/>
      <c r="N50" s="82" t="b">
        <v>0</v>
      </c>
      <c r="O50" s="81" t="b">
        <v>0</v>
      </c>
      <c r="P50" s="82" t="b">
        <v>0</v>
      </c>
      <c r="Q50" s="82" t="b">
        <v>0</v>
      </c>
      <c r="S50" s="48" t="b">
        <v>0</v>
      </c>
      <c r="T50" s="48">
        <f>IF(N50=TRUE,1,0)</f>
        <v>0</v>
      </c>
      <c r="U50" s="48">
        <f>IF(O50=TRUE,1,0)</f>
        <v>0</v>
      </c>
      <c r="V50" s="48">
        <f>IF(P50=TRUE,1,0)</f>
        <v>0</v>
      </c>
      <c r="W50" s="48">
        <f>IF(Q50=TRUE,1,0)</f>
        <v>0</v>
      </c>
      <c r="X50" s="48">
        <f>IF(S50=TRUE,1,0)</f>
        <v>0</v>
      </c>
    </row>
    <row r="51" spans="1:24" ht="19.5" customHeight="1" x14ac:dyDescent="0.25">
      <c r="A51" s="1069"/>
      <c r="B51" s="1070"/>
      <c r="C51" s="1076" t="s">
        <v>1883</v>
      </c>
      <c r="D51" s="1077"/>
      <c r="E51" s="1077"/>
      <c r="F51" s="1078"/>
      <c r="G51" s="953" t="str">
        <f>IF(AND(N50=FALSE,O50=FALSE,P50=FALSE,Q50=FALSE,N51=FALSE),"",IF(N51=FALSE,"Too many boxes checked.",""))</f>
        <v/>
      </c>
      <c r="H51" s="954"/>
      <c r="I51" s="954"/>
      <c r="J51" s="954"/>
      <c r="K51" s="954"/>
      <c r="L51" s="954"/>
      <c r="N51" s="126" t="b">
        <f>IF(OR(SUM(T50:X50)=0,SUM(T50:X50)&gt;1),FALSE,TRUE)</f>
        <v>0</v>
      </c>
      <c r="O51" s="942" t="s">
        <v>1726</v>
      </c>
      <c r="P51" s="943"/>
      <c r="Q51" s="943"/>
      <c r="R51" s="943"/>
      <c r="S51" s="944"/>
    </row>
    <row r="52" spans="1:24" ht="19.5" customHeight="1" thickBot="1" x14ac:dyDescent="0.3">
      <c r="A52" s="1071"/>
      <c r="B52" s="1072"/>
      <c r="C52" s="1073" t="s">
        <v>1772</v>
      </c>
      <c r="D52" s="1074"/>
      <c r="E52" s="1074" t="s">
        <v>1880</v>
      </c>
      <c r="F52" s="1075"/>
      <c r="G52" s="543"/>
      <c r="H52" s="543"/>
      <c r="I52" s="543"/>
      <c r="J52" s="543"/>
      <c r="K52" s="543"/>
      <c r="L52" s="543"/>
      <c r="N52" s="542"/>
      <c r="O52" s="542"/>
      <c r="P52" s="542"/>
      <c r="Q52" s="542"/>
      <c r="R52" s="542"/>
      <c r="S52" s="542"/>
    </row>
    <row r="53" spans="1:24" ht="24.95" customHeight="1" thickBot="1" x14ac:dyDescent="0.3">
      <c r="A53" s="984" t="s">
        <v>1680</v>
      </c>
      <c r="B53" s="985"/>
      <c r="C53" s="985"/>
      <c r="D53" s="985"/>
      <c r="E53" s="985"/>
      <c r="F53" s="986"/>
      <c r="N53" s="126" t="b">
        <f>IF(AND(N16=TRUE,N31=TRUE,N42=TRUE,N45=TRUE,N46=TRUE,N48=TRUE,N51=TRUE),TRUE,FALSE)</f>
        <v>0</v>
      </c>
      <c r="O53" s="942" t="s">
        <v>1727</v>
      </c>
      <c r="P53" s="943"/>
      <c r="Q53" s="943"/>
      <c r="R53" s="943"/>
      <c r="S53" s="944"/>
    </row>
    <row r="54" spans="1:24" s="49" customFormat="1" ht="45" customHeight="1" x14ac:dyDescent="0.25">
      <c r="A54" s="1044" t="s">
        <v>1356</v>
      </c>
      <c r="B54" s="1019" t="s">
        <v>1699</v>
      </c>
      <c r="C54" s="1020"/>
      <c r="D54" s="1020"/>
      <c r="E54" s="1020"/>
      <c r="F54" s="1021"/>
      <c r="N54" s="84" t="b">
        <v>0</v>
      </c>
      <c r="O54" s="84" t="b">
        <v>0</v>
      </c>
    </row>
    <row r="55" spans="1:24" ht="15" customHeight="1" x14ac:dyDescent="0.25">
      <c r="A55" s="1045"/>
      <c r="B55" s="1022" t="s">
        <v>1700</v>
      </c>
      <c r="C55" s="1023"/>
      <c r="D55" s="1023"/>
      <c r="E55" s="1023"/>
      <c r="F55" s="1024"/>
      <c r="N55" s="126" t="b">
        <f>IF(OR(AND(N54=TRUE,O54=FALSE),AND(N54=FALSE,O54=TRUE)),TRUE,FALSE)</f>
        <v>0</v>
      </c>
      <c r="O55" s="942" t="s">
        <v>1728</v>
      </c>
      <c r="P55" s="943"/>
      <c r="Q55" s="943"/>
      <c r="R55" s="943"/>
      <c r="S55" s="944"/>
    </row>
    <row r="56" spans="1:24" ht="30" customHeight="1" x14ac:dyDescent="0.25">
      <c r="A56" s="224" t="s">
        <v>1747</v>
      </c>
      <c r="B56" s="1022" t="s">
        <v>1354</v>
      </c>
      <c r="C56" s="1023"/>
      <c r="D56" s="1023"/>
      <c r="E56" s="1023"/>
      <c r="F56" s="1024"/>
    </row>
    <row r="57" spans="1:24" ht="30" customHeight="1" x14ac:dyDescent="0.25">
      <c r="A57" s="225" t="s">
        <v>1748</v>
      </c>
      <c r="B57" s="919" t="s">
        <v>1355</v>
      </c>
      <c r="C57" s="920"/>
      <c r="D57" s="920"/>
      <c r="E57" s="920"/>
      <c r="F57" s="921"/>
      <c r="N57" s="126" t="b">
        <f>IF(OR(AND(N58=TRUE,O58=FALSE),AND(N58=FALSE,O58=TRUE)),TRUE,FALSE)</f>
        <v>0</v>
      </c>
      <c r="O57" s="942" t="s">
        <v>1729</v>
      </c>
      <c r="P57" s="943"/>
      <c r="Q57" s="943"/>
      <c r="R57" s="943"/>
      <c r="S57" s="944"/>
    </row>
    <row r="58" spans="1:24" s="49" customFormat="1" ht="30.75" customHeight="1" x14ac:dyDescent="0.25">
      <c r="A58" s="233" t="s">
        <v>1357</v>
      </c>
      <c r="B58" s="922" t="s">
        <v>1773</v>
      </c>
      <c r="C58" s="923"/>
      <c r="D58" s="923"/>
      <c r="E58" s="923"/>
      <c r="F58" s="924"/>
      <c r="N58" s="84" t="b">
        <v>0</v>
      </c>
      <c r="O58" s="84" t="b">
        <v>0</v>
      </c>
    </row>
    <row r="59" spans="1:24" ht="18" customHeight="1" x14ac:dyDescent="0.25">
      <c r="A59" s="226" t="s">
        <v>1747</v>
      </c>
      <c r="B59" s="925"/>
      <c r="C59" s="926"/>
      <c r="D59" s="926"/>
      <c r="E59" s="926"/>
      <c r="F59" s="927"/>
    </row>
    <row r="60" spans="1:24" ht="18" customHeight="1" thickBot="1" x14ac:dyDescent="0.3">
      <c r="A60" s="227" t="s">
        <v>1748</v>
      </c>
      <c r="B60" s="928"/>
      <c r="C60" s="929"/>
      <c r="D60" s="929"/>
      <c r="E60" s="929"/>
      <c r="F60" s="930"/>
    </row>
    <row r="61" spans="1:24" s="49" customFormat="1" ht="33" customHeight="1" x14ac:dyDescent="0.25">
      <c r="A61" s="232" t="s">
        <v>1358</v>
      </c>
      <c r="B61" s="898" t="s">
        <v>1774</v>
      </c>
      <c r="C61" s="898"/>
      <c r="D61" s="898"/>
      <c r="E61" s="898"/>
      <c r="F61" s="899"/>
      <c r="G61" s="964" t="s">
        <v>1364</v>
      </c>
      <c r="H61" s="955" t="s">
        <v>1359</v>
      </c>
      <c r="I61" s="956"/>
      <c r="J61" s="957"/>
      <c r="N61" s="84" t="b">
        <v>0</v>
      </c>
      <c r="O61" s="84" t="b">
        <v>0</v>
      </c>
      <c r="P61" s="84" t="b">
        <v>0</v>
      </c>
      <c r="Q61" s="126" t="b">
        <f>IF(OR(AND(N61=TRUE,O61=FALSE,P61=FALSE),AND(N61=FALSE,O61=TRUE,P61=FALSE),AND(N61=FALSE,O61=FALSE,P61=TRUE)),TRUE,FALSE)</f>
        <v>0</v>
      </c>
      <c r="R61" s="942" t="s">
        <v>1730</v>
      </c>
      <c r="S61" s="943"/>
      <c r="T61" s="943"/>
      <c r="U61" s="943"/>
      <c r="V61" s="944"/>
    </row>
    <row r="62" spans="1:24" ht="20.100000000000001" customHeight="1" x14ac:dyDescent="0.25">
      <c r="A62" s="230" t="s">
        <v>1747</v>
      </c>
      <c r="B62" s="900"/>
      <c r="C62" s="900"/>
      <c r="D62" s="900"/>
      <c r="E62" s="900"/>
      <c r="F62" s="901"/>
      <c r="G62" s="964"/>
      <c r="H62" s="958"/>
      <c r="I62" s="959"/>
      <c r="J62" s="960"/>
    </row>
    <row r="63" spans="1:24" ht="20.100000000000001" customHeight="1" x14ac:dyDescent="0.25">
      <c r="A63" s="230" t="s">
        <v>1748</v>
      </c>
      <c r="B63" s="900"/>
      <c r="C63" s="900"/>
      <c r="D63" s="900"/>
      <c r="E63" s="900"/>
      <c r="F63" s="901"/>
      <c r="G63" s="964"/>
      <c r="H63" s="958"/>
      <c r="I63" s="959"/>
      <c r="J63" s="960"/>
    </row>
    <row r="64" spans="1:24" ht="20.100000000000001" customHeight="1" thickBot="1" x14ac:dyDescent="0.3">
      <c r="A64" s="231" t="s">
        <v>1749</v>
      </c>
      <c r="B64" s="902"/>
      <c r="C64" s="902"/>
      <c r="D64" s="902"/>
      <c r="E64" s="902"/>
      <c r="F64" s="903"/>
      <c r="G64" s="964"/>
      <c r="H64" s="961"/>
      <c r="I64" s="962"/>
      <c r="J64" s="963"/>
    </row>
    <row r="65" spans="1:25" s="49" customFormat="1" ht="50.1" customHeight="1" x14ac:dyDescent="0.25">
      <c r="A65" s="232" t="s">
        <v>1750</v>
      </c>
      <c r="B65" s="898" t="s">
        <v>1755</v>
      </c>
      <c r="C65" s="898"/>
      <c r="D65" s="898"/>
      <c r="E65" s="898"/>
      <c r="F65" s="899"/>
      <c r="N65" s="84" t="b">
        <v>0</v>
      </c>
      <c r="O65" s="84" t="b">
        <v>0</v>
      </c>
      <c r="Q65" s="126" t="b">
        <f>IF(OR(AND(N65=TRUE,O65=FALSE),AND(N65=FALSE,O65=TRUE)),TRUE,FALSE)</f>
        <v>0</v>
      </c>
      <c r="R65" s="942" t="s">
        <v>1731</v>
      </c>
      <c r="S65" s="943"/>
      <c r="T65" s="943"/>
      <c r="U65" s="943"/>
      <c r="V65" s="944"/>
      <c r="W65" s="84" t="b">
        <v>0</v>
      </c>
      <c r="X65" s="84" t="b">
        <v>0</v>
      </c>
      <c r="Y65" s="178" t="b">
        <f>IF(OR(AND(W65=TRUE,X65=FALSE),AND(W65=FALSE,X65=TRUE)),TRUE,FALSE)</f>
        <v>0</v>
      </c>
    </row>
    <row r="66" spans="1:25" ht="50.1" customHeight="1" x14ac:dyDescent="0.25">
      <c r="A66" s="228" t="s">
        <v>1747</v>
      </c>
      <c r="B66" s="900"/>
      <c r="C66" s="900"/>
      <c r="D66" s="900"/>
      <c r="E66" s="900"/>
      <c r="F66" s="901"/>
    </row>
    <row r="67" spans="1:25" ht="50.1" customHeight="1" thickBot="1" x14ac:dyDescent="0.3">
      <c r="A67" s="229" t="s">
        <v>1748</v>
      </c>
      <c r="B67" s="902"/>
      <c r="C67" s="902"/>
      <c r="D67" s="902"/>
      <c r="E67" s="902"/>
      <c r="F67" s="903"/>
    </row>
    <row r="68" spans="1:25" ht="30" customHeight="1" x14ac:dyDescent="0.25">
      <c r="A68" s="37" t="s">
        <v>1360</v>
      </c>
      <c r="B68" s="910"/>
      <c r="C68" s="911"/>
      <c r="D68" s="911"/>
      <c r="E68" s="911"/>
      <c r="F68" s="912"/>
      <c r="G68" s="888" t="s">
        <v>1364</v>
      </c>
      <c r="H68" s="889" t="s">
        <v>1365</v>
      </c>
      <c r="I68" s="890"/>
      <c r="J68" s="891"/>
    </row>
    <row r="69" spans="1:25" ht="30" customHeight="1" x14ac:dyDescent="0.25">
      <c r="A69" s="36" t="s">
        <v>1361</v>
      </c>
      <c r="B69" s="913"/>
      <c r="C69" s="914"/>
      <c r="D69" s="914"/>
      <c r="E69" s="914"/>
      <c r="F69" s="915"/>
      <c r="G69" s="888"/>
      <c r="H69" s="892"/>
      <c r="I69" s="893"/>
      <c r="J69" s="894"/>
    </row>
    <row r="70" spans="1:25" ht="60" customHeight="1" x14ac:dyDescent="0.25">
      <c r="A70" s="37" t="s">
        <v>1362</v>
      </c>
      <c r="B70" s="916"/>
      <c r="C70" s="917"/>
      <c r="D70" s="917"/>
      <c r="E70" s="917"/>
      <c r="F70" s="918"/>
      <c r="G70" s="888"/>
      <c r="H70" s="892"/>
      <c r="I70" s="893"/>
      <c r="J70" s="894"/>
    </row>
    <row r="71" spans="1:25" ht="36" customHeight="1" thickBot="1" x14ac:dyDescent="0.3">
      <c r="A71" s="38" t="s">
        <v>1363</v>
      </c>
      <c r="B71" s="940"/>
      <c r="C71" s="941"/>
      <c r="D71" s="941"/>
      <c r="E71" s="941"/>
      <c r="F71" s="838" t="str">
        <f>"Ver."&amp;" "&amp;TEXT(Introduction!M3,"MM/YYYY")</f>
        <v>Ver. 01/2025</v>
      </c>
      <c r="G71" s="888"/>
      <c r="H71" s="895"/>
      <c r="I71" s="896"/>
      <c r="J71" s="897"/>
    </row>
    <row r="72" spans="1:25" ht="18" customHeight="1" thickBot="1" x14ac:dyDescent="0.3"/>
    <row r="73" spans="1:25" ht="18" customHeight="1" x14ac:dyDescent="0.25">
      <c r="A73" s="51" t="s">
        <v>1366</v>
      </c>
      <c r="B73" s="52"/>
      <c r="C73" s="52"/>
      <c r="D73" s="52"/>
      <c r="E73" s="52"/>
      <c r="F73" s="53"/>
    </row>
    <row r="74" spans="1:25" ht="60" customHeight="1" x14ac:dyDescent="0.25">
      <c r="A74" s="1015" t="s">
        <v>1367</v>
      </c>
      <c r="B74" s="1013"/>
      <c r="C74" s="1013"/>
      <c r="D74" s="1013"/>
      <c r="E74" s="1013"/>
      <c r="F74" s="1014"/>
    </row>
    <row r="75" spans="1:25" ht="15.95" customHeight="1" x14ac:dyDescent="0.25">
      <c r="A75" s="54" t="s">
        <v>1369</v>
      </c>
      <c r="B75" s="1013" t="s">
        <v>1368</v>
      </c>
      <c r="C75" s="1013"/>
      <c r="D75" s="1013"/>
      <c r="E75" s="1013"/>
      <c r="F75" s="1014"/>
    </row>
    <row r="76" spans="1:25" ht="45" customHeight="1" x14ac:dyDescent="0.25">
      <c r="A76" s="55"/>
      <c r="B76" s="56" t="s">
        <v>1370</v>
      </c>
      <c r="C76" s="1013" t="s">
        <v>1371</v>
      </c>
      <c r="D76" s="1013"/>
      <c r="E76" s="1013"/>
      <c r="F76" s="1014"/>
    </row>
    <row r="77" spans="1:25" ht="45" customHeight="1" x14ac:dyDescent="0.25">
      <c r="A77" s="55"/>
      <c r="B77" s="56" t="s">
        <v>1372</v>
      </c>
      <c r="C77" s="1013" t="s">
        <v>1373</v>
      </c>
      <c r="D77" s="1013"/>
      <c r="E77" s="1013"/>
      <c r="F77" s="1014"/>
    </row>
    <row r="78" spans="1:25" ht="75" customHeight="1" x14ac:dyDescent="0.25">
      <c r="A78" s="55"/>
      <c r="B78" s="56" t="s">
        <v>1374</v>
      </c>
      <c r="C78" s="1013" t="s">
        <v>1375</v>
      </c>
      <c r="D78" s="1013"/>
      <c r="E78" s="1013"/>
      <c r="F78" s="1014"/>
    </row>
    <row r="79" spans="1:25" ht="55.5" customHeight="1" x14ac:dyDescent="0.25">
      <c r="A79" s="55"/>
      <c r="B79" s="57"/>
      <c r="C79" s="56" t="s">
        <v>1376</v>
      </c>
      <c r="D79" s="1013" t="s">
        <v>1377</v>
      </c>
      <c r="E79" s="1013"/>
      <c r="F79" s="1014"/>
    </row>
    <row r="80" spans="1:25" ht="45" customHeight="1" x14ac:dyDescent="0.25">
      <c r="A80" s="55"/>
      <c r="B80" s="57"/>
      <c r="C80" s="56" t="s">
        <v>1378</v>
      </c>
      <c r="D80" s="1013" t="s">
        <v>1379</v>
      </c>
      <c r="E80" s="1013"/>
      <c r="F80" s="1014"/>
    </row>
    <row r="81" spans="1:6" ht="15.95" customHeight="1" x14ac:dyDescent="0.25">
      <c r="A81" s="54" t="s">
        <v>1380</v>
      </c>
      <c r="B81" s="1013" t="s">
        <v>1381</v>
      </c>
      <c r="C81" s="1013"/>
      <c r="D81" s="1013"/>
      <c r="E81" s="1013"/>
      <c r="F81" s="1014"/>
    </row>
    <row r="82" spans="1:6" ht="26.1" customHeight="1" x14ac:dyDescent="0.25">
      <c r="A82" s="55"/>
      <c r="B82" s="56" t="s">
        <v>1370</v>
      </c>
      <c r="C82" s="1013" t="s">
        <v>1382</v>
      </c>
      <c r="D82" s="1013"/>
      <c r="E82" s="1013"/>
      <c r="F82" s="1014"/>
    </row>
    <row r="83" spans="1:6" ht="15.95" customHeight="1" x14ac:dyDescent="0.25">
      <c r="A83" s="54" t="s">
        <v>1383</v>
      </c>
      <c r="B83" s="1013" t="s">
        <v>1384</v>
      </c>
      <c r="C83" s="1013"/>
      <c r="D83" s="1013"/>
      <c r="E83" s="1013"/>
      <c r="F83" s="1014"/>
    </row>
    <row r="84" spans="1:6" ht="90" customHeight="1" x14ac:dyDescent="0.25">
      <c r="A84" s="58"/>
      <c r="B84" s="56" t="s">
        <v>1370</v>
      </c>
      <c r="C84" s="1013" t="s">
        <v>1385</v>
      </c>
      <c r="D84" s="1013"/>
      <c r="E84" s="1013"/>
      <c r="F84" s="1014"/>
    </row>
    <row r="85" spans="1:6" ht="15.95" customHeight="1" x14ac:dyDescent="0.25">
      <c r="A85" s="54" t="s">
        <v>1386</v>
      </c>
      <c r="B85" s="1013" t="s">
        <v>1387</v>
      </c>
      <c r="C85" s="1013"/>
      <c r="D85" s="1013"/>
      <c r="E85" s="1013"/>
      <c r="F85" s="1014"/>
    </row>
    <row r="86" spans="1:6" ht="54.95" customHeight="1" x14ac:dyDescent="0.25">
      <c r="A86" s="58"/>
      <c r="B86" s="56" t="s">
        <v>1370</v>
      </c>
      <c r="C86" s="1013" t="s">
        <v>1388</v>
      </c>
      <c r="D86" s="1013"/>
      <c r="E86" s="1013"/>
      <c r="F86" s="1014"/>
    </row>
    <row r="87" spans="1:6" ht="39.950000000000003" customHeight="1" x14ac:dyDescent="0.25">
      <c r="A87" s="59"/>
      <c r="B87" s="56" t="s">
        <v>1372</v>
      </c>
      <c r="C87" s="1013" t="s">
        <v>1389</v>
      </c>
      <c r="D87" s="1013"/>
      <c r="E87" s="1013"/>
      <c r="F87" s="1014"/>
    </row>
    <row r="88" spans="1:6" ht="15.95" customHeight="1" thickBot="1" x14ac:dyDescent="0.3">
      <c r="A88" s="60"/>
      <c r="B88" s="61"/>
      <c r="C88" s="62"/>
      <c r="D88" s="62"/>
      <c r="E88" s="62"/>
      <c r="F88" s="63"/>
    </row>
    <row r="89" spans="1:6" ht="15.95" customHeight="1" x14ac:dyDescent="0.25"/>
    <row r="90" spans="1:6" ht="15.95" customHeight="1" x14ac:dyDescent="0.25"/>
  </sheetData>
  <sheetProtection algorithmName="SHA-512" hashValue="658dSIKtNat6VdJImFsV4c6feP0Rp5kk9X2FZLIuHeVxXFhh8y3a6s7Z0ZpoUT5cALiUETx3iTV+aq5jzN9iyQ==" saltValue="hRim4JFREaD2C+TaU6morA==" spinCount="100000" sheet="1" objects="1" scenarios="1"/>
  <mergeCells count="119">
    <mergeCell ref="A24:A25"/>
    <mergeCell ref="A26:A27"/>
    <mergeCell ref="C26:F27"/>
    <mergeCell ref="A31:F31"/>
    <mergeCell ref="E35:F35"/>
    <mergeCell ref="B37:C37"/>
    <mergeCell ref="E50:F50"/>
    <mergeCell ref="C50:D50"/>
    <mergeCell ref="E45:F45"/>
    <mergeCell ref="E44:F44"/>
    <mergeCell ref="C45:D45"/>
    <mergeCell ref="C44:D44"/>
    <mergeCell ref="A47:D47"/>
    <mergeCell ref="A50:B52"/>
    <mergeCell ref="C52:D52"/>
    <mergeCell ref="E52:F52"/>
    <mergeCell ref="C51:F51"/>
    <mergeCell ref="F24:F25"/>
    <mergeCell ref="E24:E25"/>
    <mergeCell ref="D24:D25"/>
    <mergeCell ref="H18:L18"/>
    <mergeCell ref="A53:F53"/>
    <mergeCell ref="B54:F54"/>
    <mergeCell ref="B55:F55"/>
    <mergeCell ref="B56:F56"/>
    <mergeCell ref="C22:F22"/>
    <mergeCell ref="E34:F34"/>
    <mergeCell ref="B35:C35"/>
    <mergeCell ref="B34:C34"/>
    <mergeCell ref="B32:F32"/>
    <mergeCell ref="B33:F33"/>
    <mergeCell ref="B41:C41"/>
    <mergeCell ref="E41:F41"/>
    <mergeCell ref="A48:C49"/>
    <mergeCell ref="A42:F42"/>
    <mergeCell ref="A43:D43"/>
    <mergeCell ref="B36:C36"/>
    <mergeCell ref="B38:F38"/>
    <mergeCell ref="B39:F39"/>
    <mergeCell ref="A54:A55"/>
    <mergeCell ref="D36:F37"/>
    <mergeCell ref="A36:A37"/>
    <mergeCell ref="B29:F29"/>
    <mergeCell ref="C24:C25"/>
    <mergeCell ref="C86:F86"/>
    <mergeCell ref="C87:F87"/>
    <mergeCell ref="A74:F74"/>
    <mergeCell ref="C76:F76"/>
    <mergeCell ref="C77:F77"/>
    <mergeCell ref="C78:F78"/>
    <mergeCell ref="D79:F79"/>
    <mergeCell ref="D80:F80"/>
    <mergeCell ref="B81:F81"/>
    <mergeCell ref="C82:F82"/>
    <mergeCell ref="B83:F83"/>
    <mergeCell ref="B85:F85"/>
    <mergeCell ref="B75:F75"/>
    <mergeCell ref="C84:F84"/>
    <mergeCell ref="A1:F6"/>
    <mergeCell ref="A10:F10"/>
    <mergeCell ref="B11:F11"/>
    <mergeCell ref="B12:F12"/>
    <mergeCell ref="C23:F23"/>
    <mergeCell ref="C21:F21"/>
    <mergeCell ref="A21:A23"/>
    <mergeCell ref="B18:F18"/>
    <mergeCell ref="B19:F19"/>
    <mergeCell ref="B17:F17"/>
    <mergeCell ref="A7:A8"/>
    <mergeCell ref="A9:F9"/>
    <mergeCell ref="A16:F16"/>
    <mergeCell ref="B8:C8"/>
    <mergeCell ref="B7:C7"/>
    <mergeCell ref="D8:F8"/>
    <mergeCell ref="D7:F7"/>
    <mergeCell ref="E14:F15"/>
    <mergeCell ref="C14:D15"/>
    <mergeCell ref="A14:A15"/>
    <mergeCell ref="H23:L23"/>
    <mergeCell ref="G21:G23"/>
    <mergeCell ref="G43:J43"/>
    <mergeCell ref="G47:J47"/>
    <mergeCell ref="G44:J45"/>
    <mergeCell ref="G50:L50"/>
    <mergeCell ref="G51:L51"/>
    <mergeCell ref="H61:J64"/>
    <mergeCell ref="G61:G64"/>
    <mergeCell ref="H24:L32"/>
    <mergeCell ref="H20:L22"/>
    <mergeCell ref="O16:S16"/>
    <mergeCell ref="O31:S31"/>
    <mergeCell ref="O35:S35"/>
    <mergeCell ref="O41:S41"/>
    <mergeCell ref="O42:S42"/>
    <mergeCell ref="O55:S55"/>
    <mergeCell ref="O57:S57"/>
    <mergeCell ref="R61:V61"/>
    <mergeCell ref="R65:V65"/>
    <mergeCell ref="O45:S45"/>
    <mergeCell ref="O46:S46"/>
    <mergeCell ref="O48:S48"/>
    <mergeCell ref="O51:S51"/>
    <mergeCell ref="O53:S53"/>
    <mergeCell ref="G68:G71"/>
    <mergeCell ref="H68:J71"/>
    <mergeCell ref="B65:F67"/>
    <mergeCell ref="B61:F64"/>
    <mergeCell ref="B40:C40"/>
    <mergeCell ref="E40:F40"/>
    <mergeCell ref="B28:F28"/>
    <mergeCell ref="B68:F68"/>
    <mergeCell ref="B69:F69"/>
    <mergeCell ref="B70:F70"/>
    <mergeCell ref="B57:F57"/>
    <mergeCell ref="B58:F60"/>
    <mergeCell ref="A44:B45"/>
    <mergeCell ref="A46:D46"/>
    <mergeCell ref="E46:F46"/>
    <mergeCell ref="B71:E71"/>
  </mergeCells>
  <conditionalFormatting sqref="A54 A56:A57">
    <cfRule type="expression" dxfId="321" priority="537">
      <formula>AND($N$53=TRUE,$N$55=FALSE)</formula>
    </cfRule>
  </conditionalFormatting>
  <conditionalFormatting sqref="A58:A60">
    <cfRule type="expression" dxfId="320" priority="541">
      <formula>AND($N$53=TRUE,$N$55=TRUE,$N$57=FALSE)</formula>
    </cfRule>
  </conditionalFormatting>
  <conditionalFormatting sqref="A61:A64">
    <cfRule type="expression" dxfId="319" priority="543">
      <formula>AND($N$53=TRUE,$N$55=TRUE,$N$57=TRUE,$Q$61=FALSE)</formula>
    </cfRule>
  </conditionalFormatting>
  <conditionalFormatting sqref="A65:A67">
    <cfRule type="expression" dxfId="318" priority="6">
      <formula>AND($N$53=TRUE,$N$55=TRUE,$N$57=TRUE,$Q$61=TRUE,$Q$65=FALSE)</formula>
    </cfRule>
  </conditionalFormatting>
  <conditionalFormatting sqref="A44:C45 E44:E45 A46:F46">
    <cfRule type="expression" dxfId="317" priority="22" stopIfTrue="1">
      <formula>AND($N$42=TRUE,$N$43=FALSE,$O$43=TRUE)</formula>
    </cfRule>
  </conditionalFormatting>
  <conditionalFormatting sqref="A48:F49">
    <cfRule type="expression" dxfId="316" priority="16">
      <formula>AND($N$47=FALSE,$O$47=TRUE)</formula>
    </cfRule>
  </conditionalFormatting>
  <conditionalFormatting sqref="B13">
    <cfRule type="expression" dxfId="315" priority="62">
      <formula>AND($S$8=TRUE,NOT(ISBLANK(B11)),NOT(ISBLANK(B12)),ISBLANK(B13))</formula>
    </cfRule>
  </conditionalFormatting>
  <conditionalFormatting sqref="B14:B15">
    <cfRule type="expression" dxfId="314" priority="59">
      <formula>AND($S$8=TRUE,NOT(ISBLANK($B$11)),NOT(ISBLANK($B$12)),NOT(ISBLANK($B$13)),NOT(ISBLANK($D$13)),NOT(ISBLANK($F$13)),$N$14=FALSE,$O$14=FALSE)</formula>
    </cfRule>
  </conditionalFormatting>
  <conditionalFormatting sqref="B20">
    <cfRule type="expression" dxfId="313" priority="53">
      <formula>AND(N16=TRUE,NOT(ISBLANK(B17)),NOT(ISBLANK(B18)),NOT(ISBLANK(B19)),ISBLANK(B20))</formula>
    </cfRule>
  </conditionalFormatting>
  <conditionalFormatting sqref="B21">
    <cfRule type="expression" dxfId="312" priority="51">
      <formula>AND(N16=TRUE,NOT(ISBLANK(B17)),NOT(ISBLANK(B18)),NOT(ISBLANK(B19)),NOT(ISBLANK(B20)),NOT(ISBLANK(F20)),ISBLANK(B21))</formula>
    </cfRule>
  </conditionalFormatting>
  <conditionalFormatting sqref="B21:B23">
    <cfRule type="expression" dxfId="311" priority="67">
      <formula>B21&gt;999999</formula>
    </cfRule>
  </conditionalFormatting>
  <conditionalFormatting sqref="B24:B25">
    <cfRule type="expression" dxfId="310" priority="49">
      <formula>AND($N$16=TRUE,NOT(ISBLANK($B$17)),NOT(ISBLANK($B$18)),NOT(ISBLANK($B$19)),NOT(ISBLANK($B$20)),NOT(ISBLANK($F$20)),NOT(ISBLANK($B$21)),$N$24=FALSE,$O$24=FALSE)</formula>
    </cfRule>
  </conditionalFormatting>
  <conditionalFormatting sqref="B26:B27">
    <cfRule type="expression" dxfId="309" priority="46">
      <formula>AND($U$24=TRUE,$N$26=FALSE,$O$26=FALSE)</formula>
    </cfRule>
  </conditionalFormatting>
  <conditionalFormatting sqref="B30">
    <cfRule type="expression" dxfId="308" priority="42">
      <formula>AND(N26=TRUE,O26=FALSE,NOT(ISBLANK(B28)),NOT(ISBLANK(B29)),ISBLANK(B30))</formula>
    </cfRule>
  </conditionalFormatting>
  <conditionalFormatting sqref="B34:C34">
    <cfRule type="expression" dxfId="307" priority="35">
      <formula>AND(N31=TRUE,NOT(ISBLANK(B32)),NOT(ISBLANK(B33)),ISBLANK(B34))</formula>
    </cfRule>
  </conditionalFormatting>
  <conditionalFormatting sqref="B36:C37">
    <cfRule type="expression" dxfId="306" priority="32">
      <formula>AND($N$35=TRUE,$N$36=FALSE,$O$36=FALSE)</formula>
    </cfRule>
  </conditionalFormatting>
  <conditionalFormatting sqref="B40:C40">
    <cfRule type="expression" dxfId="305" priority="29">
      <formula>AND(N35=TRUE,N36=FALSE,O36=TRUE,NOT(ISBLANK(B38)),ISBLANK(B40))</formula>
    </cfRule>
  </conditionalFormatting>
  <conditionalFormatting sqref="B7:D8">
    <cfRule type="expression" dxfId="304" priority="65">
      <formula>$S$8=FALSE</formula>
    </cfRule>
  </conditionalFormatting>
  <conditionalFormatting sqref="B11:F11">
    <cfRule type="expression" dxfId="303" priority="64">
      <formula>AND($S$8=TRUE,ISBLANK(B11))</formula>
    </cfRule>
  </conditionalFormatting>
  <conditionalFormatting sqref="B12:F12">
    <cfRule type="expression" dxfId="302" priority="63">
      <formula>AND($S$8=TRUE,NOT(ISBLANK(B11)),ISBLANK(B12))</formula>
    </cfRule>
  </conditionalFormatting>
  <conditionalFormatting sqref="B17:F17">
    <cfRule type="expression" dxfId="301" priority="27">
      <formula>AND($N$16=TRUE,ISBLANK(B17))</formula>
    </cfRule>
  </conditionalFormatting>
  <conditionalFormatting sqref="B18:F18">
    <cfRule type="expression" dxfId="300" priority="55">
      <formula>AND(N16=TRUE,NOT(ISBLANK(B17)),ISBLANK(B18))</formula>
    </cfRule>
  </conditionalFormatting>
  <conditionalFormatting sqref="B19:F19">
    <cfRule type="expression" dxfId="299" priority="26">
      <formula>AND($S$8=TRUE,NOT(ISBLANK(B18)),ISBLANK(B19))</formula>
    </cfRule>
  </conditionalFormatting>
  <conditionalFormatting sqref="B28:F28">
    <cfRule type="expression" dxfId="298" priority="45">
      <formula>AND(U24=TRUE,N26=TRUE,O26=FALSE,ISBLANK(B28))</formula>
    </cfRule>
  </conditionalFormatting>
  <conditionalFormatting sqref="B29:F29">
    <cfRule type="expression" dxfId="297" priority="43">
      <formula>AND(N26=TRUE,O26=FALSE,NOT(ISBLANK(B28)),ISBLANK(B29))</formula>
    </cfRule>
  </conditionalFormatting>
  <conditionalFormatting sqref="B32:F32">
    <cfRule type="expression" dxfId="296" priority="38">
      <formula>AND(N31=TRUE,ISBLANK(B32))</formula>
    </cfRule>
  </conditionalFormatting>
  <conditionalFormatting sqref="B33:F33">
    <cfRule type="expression" dxfId="295" priority="36">
      <formula>AND(N31=TRUE,NOT(ISBLANK(B32)),ISBLANK(B33))</formula>
    </cfRule>
  </conditionalFormatting>
  <conditionalFormatting sqref="B38:F38">
    <cfRule type="expression" dxfId="294" priority="30">
      <formula>AND(N35=TRUE,N36=FALSE,O36=TRUE,ISBLANK(B38))</formula>
    </cfRule>
  </conditionalFormatting>
  <conditionalFormatting sqref="B65:F65">
    <cfRule type="expression" dxfId="293" priority="5">
      <formula>AND($N$53=TRUE,$N$55=TRUE,$N$57=TRUE,$Q$61=TRUE,$Y$65=FALSE)</formula>
    </cfRule>
  </conditionalFormatting>
  <conditionalFormatting sqref="C24">
    <cfRule type="expression" dxfId="292" priority="39">
      <formula>AND($N$24=TRUE,$O$24=TRUE)</formula>
    </cfRule>
  </conditionalFormatting>
  <conditionalFormatting sqref="C14:D14">
    <cfRule type="expression" dxfId="291" priority="58">
      <formula>AND(N14=TRUE,O14=TRUE)</formula>
    </cfRule>
  </conditionalFormatting>
  <conditionalFormatting sqref="C51:D52">
    <cfRule type="expression" dxfId="290" priority="2">
      <formula>AND($N$48=TRUE,$N$50=FALSE,$O$50=FALSE,$P$50=FALSE,$Q$50=FALSE)</formula>
    </cfRule>
  </conditionalFormatting>
  <conditionalFormatting sqref="C26:F26 A28:F30">
    <cfRule type="expression" dxfId="289" priority="47">
      <formula>AND($N$26=FALSE,$O$26=TRUE)</formula>
    </cfRule>
  </conditionalFormatting>
  <conditionalFormatting sqref="C26:F26">
    <cfRule type="expression" dxfId="288" priority="44">
      <formula>AND(N26=TRUE,O26=TRUE)</formula>
    </cfRule>
  </conditionalFormatting>
  <conditionalFormatting sqref="C44:F45">
    <cfRule type="expression" dxfId="287" priority="530">
      <formula>AND($N$42=TRUE,$N$43=TRUE,$O$43=FALSE,$N$44=FALSE,$O$44=FALSE,$P$44=FALSE)</formula>
    </cfRule>
  </conditionalFormatting>
  <conditionalFormatting sqref="C50:F50">
    <cfRule type="expression" dxfId="286" priority="14">
      <formula>AND($N$48=TRUE,$N$50=FALSE,$O$50=FALSE,$P$50=FALSE,$Q$50=FALSE)</formula>
    </cfRule>
  </conditionalFormatting>
  <conditionalFormatting sqref="D13">
    <cfRule type="expression" dxfId="285" priority="61">
      <formula>AND($S$8=TRUE,NOT(ISBLANK(B11)),NOT(ISBLANK(B12)),NOT(ISBLANK(B13)),ISBLANK(D13))</formula>
    </cfRule>
  </conditionalFormatting>
  <conditionalFormatting sqref="D30">
    <cfRule type="expression" dxfId="284" priority="41">
      <formula>AND(N26=TRUE,O26=FALSE,NOT(ISBLANK(B28)),NOT(ISBLANK(B29)),NOT(ISBLANK(B30)),ISBLANK(D30))</formula>
    </cfRule>
  </conditionalFormatting>
  <conditionalFormatting sqref="D48">
    <cfRule type="expression" dxfId="283" priority="18">
      <formula>AND(N45=TRUE,N47=TRUE,O47=FALSE,ISBLANK(D48))</formula>
    </cfRule>
  </conditionalFormatting>
  <conditionalFormatting sqref="D24:F25">
    <cfRule type="expression" dxfId="282" priority="48">
      <formula>AND($N24=TRUE,$O24=FALSE,$Q24=FALSE,$R24=FALSE,$S24=FALSE)</formula>
    </cfRule>
    <cfRule type="expression" dxfId="281" priority="50">
      <formula>AND($N24=FALSE,$O24=TRUE)</formula>
    </cfRule>
  </conditionalFormatting>
  <conditionalFormatting sqref="D36:F36 A38:F41">
    <cfRule type="expression" dxfId="280" priority="31">
      <formula>AND($N$36=TRUE,$O$36=FALSE)</formula>
    </cfRule>
  </conditionalFormatting>
  <conditionalFormatting sqref="D36:F36">
    <cfRule type="expression" dxfId="279" priority="33">
      <formula>AND(N36=TRUE,O36=TRUE)</formula>
    </cfRule>
  </conditionalFormatting>
  <conditionalFormatting sqref="E14:F14">
    <cfRule type="expression" dxfId="278" priority="57">
      <formula>AND($S$8=TRUE,NOT(ISBLANK(B11)),NOT(ISBLANK(B12)),NOT(ISBLANK(B13)),NOT(ISBLANK(D13)),NOT(ISBLANK(F13)),N14=TRUE,O14=FALSE,ISBLANK(E14))</formula>
    </cfRule>
  </conditionalFormatting>
  <conditionalFormatting sqref="E34:F34">
    <cfRule type="expression" dxfId="277" priority="34">
      <formula>AND(N31=TRUE,NOT(ISBLANK(B32)),NOT(ISBLANK(B33)),NOT(ISBLANK(B34)),ISBLANK(E34))</formula>
    </cfRule>
  </conditionalFormatting>
  <conditionalFormatting sqref="E40:F40">
    <cfRule type="expression" dxfId="276" priority="28">
      <formula>AND(N35=TRUE,N36=FALSE,O36=TRUE,NOT(ISBLANK(B38)),NOT(ISBLANK(B40)),ISBLANK(E40))</formula>
    </cfRule>
  </conditionalFormatting>
  <conditionalFormatting sqref="E43:F43">
    <cfRule type="expression" dxfId="275" priority="25">
      <formula>AND($N$41=TRUE,$N$43=FALSE,$O$43=FALSE)</formula>
    </cfRule>
  </conditionalFormatting>
  <conditionalFormatting sqref="E46:F46">
    <cfRule type="expression" dxfId="274" priority="23">
      <formula>AND(N45=TRUE,ISBLANK(E46))</formula>
    </cfRule>
  </conditionalFormatting>
  <conditionalFormatting sqref="E47:F47">
    <cfRule type="expression" dxfId="273" priority="19">
      <formula>OR(AND($N$45=TRUE,$O$43=TRUE,$N$47=FALSE,$O$47=FALSE),AND($N$45=TRUE,$N$43=TRUE,NOT(ISBLANK($E$46)),$N$47=FALSE,$O$47=FALSE))</formula>
    </cfRule>
  </conditionalFormatting>
  <conditionalFormatting sqref="E52:F52">
    <cfRule type="expression" dxfId="272" priority="1">
      <formula>AND($N$48=TRUE,$N$50=FALSE,$O$50=FALSE,$P$50=FALSE,$Q$50=FALSE)</formula>
    </cfRule>
  </conditionalFormatting>
  <conditionalFormatting sqref="F13">
    <cfRule type="expression" dxfId="271" priority="60">
      <formula>AND($S$8=TRUE,NOT(ISBLANK(B11)),NOT(ISBLANK(B12)),NOT(ISBLANK(B13)),NOT(ISBLANK(D13)),ISBLANK(F13))</formula>
    </cfRule>
  </conditionalFormatting>
  <conditionalFormatting sqref="F20">
    <cfRule type="expression" dxfId="270" priority="52">
      <formula>AND(N16=TRUE,NOT(ISBLANK(B17)),NOT(ISBLANK(B18)),NOT(ISBLANK(B19)),NOT(ISBLANK(B20)),ISBLANK(F20))</formula>
    </cfRule>
  </conditionalFormatting>
  <conditionalFormatting sqref="F30">
    <cfRule type="expression" dxfId="269" priority="40">
      <formula>AND(N26=TRUE,O26=FALSE,NOT(ISBLANK(B28)),NOT(ISBLANK(B29)),NOT(ISBLANK(B30)),NOT(ISBLANK(D30)),ISBLANK(F30))</formula>
    </cfRule>
  </conditionalFormatting>
  <conditionalFormatting sqref="G51:G52">
    <cfRule type="expression" dxfId="268" priority="13">
      <formula>G51="Too many boxes checked."</formula>
    </cfRule>
  </conditionalFormatting>
  <conditionalFormatting sqref="G43:J43">
    <cfRule type="expression" dxfId="267" priority="24">
      <formula>AND(N43=TRUE,O43=TRUE)</formula>
    </cfRule>
  </conditionalFormatting>
  <conditionalFormatting sqref="G44:J45">
    <cfRule type="expression" dxfId="266" priority="15">
      <formula>OR(AND(N44=TRUE,O44=TRUE),AND(N44=TRUE,P44=TRUE),AND(O44=TRUE,P44=TRUE))</formula>
    </cfRule>
  </conditionalFormatting>
  <conditionalFormatting sqref="G47:J47">
    <cfRule type="expression" dxfId="265" priority="17">
      <formula>AND(N47=TRUE,O47=TRUE)</formula>
    </cfRule>
  </conditionalFormatting>
  <conditionalFormatting sqref="G50:L50">
    <cfRule type="expression" dxfId="264" priority="533">
      <formula>AND($S$50=TRUE,$N$51=TRUE)</formula>
    </cfRule>
  </conditionalFormatting>
  <hyperlinks>
    <hyperlink ref="H23" r:id="rId1" xr:uid="{00000000-0004-0000-0100-000000000000}"/>
  </hyperlinks>
  <printOptions horizontalCentered="1"/>
  <pageMargins left="0.5" right="0.5" top="0.5" bottom="0.5" header="0.3" footer="0.3"/>
  <pageSetup scale="85" fitToHeight="2" orientation="portrait" r:id="rId2"/>
  <headerFooter>
    <oddFooter>&amp;L&amp;A&amp;RPage &amp;P</oddFooter>
  </headerFooter>
  <rowBreaks count="1" manualBreakCount="1">
    <brk id="41" max="5" man="1"/>
  </rowBreaks>
  <ignoredErrors>
    <ignoredError sqref="A75:A76 A85:A86 A81:A84 A80 A79 A78 A77"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14340" r:id="rId5" name="Check Box 4">
              <controlPr defaultSize="0" autoFill="0" autoLine="0" autoPict="0">
                <anchor moveWithCells="1">
                  <from>
                    <xdr:col>3</xdr:col>
                    <xdr:colOff>66675</xdr:colOff>
                    <xdr:row>23</xdr:row>
                    <xdr:rowOff>95250</xdr:rowOff>
                  </from>
                  <to>
                    <xdr:col>3</xdr:col>
                    <xdr:colOff>981075</xdr:colOff>
                    <xdr:row>24</xdr:row>
                    <xdr:rowOff>114300</xdr:rowOff>
                  </to>
                </anchor>
              </controlPr>
            </control>
          </mc:Choice>
        </mc:AlternateContent>
        <mc:AlternateContent xmlns:mc="http://schemas.openxmlformats.org/markup-compatibility/2006">
          <mc:Choice Requires="x14">
            <control shapeId="14341" r:id="rId6" name="Check Box 5">
              <controlPr defaultSize="0" autoFill="0" autoLine="0" autoPict="0">
                <anchor moveWithCells="1">
                  <from>
                    <xdr:col>4</xdr:col>
                    <xdr:colOff>57150</xdr:colOff>
                    <xdr:row>23</xdr:row>
                    <xdr:rowOff>85725</xdr:rowOff>
                  </from>
                  <to>
                    <xdr:col>4</xdr:col>
                    <xdr:colOff>971550</xdr:colOff>
                    <xdr:row>24</xdr:row>
                    <xdr:rowOff>114300</xdr:rowOff>
                  </to>
                </anchor>
              </controlPr>
            </control>
          </mc:Choice>
        </mc:AlternateContent>
        <mc:AlternateContent xmlns:mc="http://schemas.openxmlformats.org/markup-compatibility/2006">
          <mc:Choice Requires="x14">
            <control shapeId="14342" r:id="rId7" name="Check Box 6">
              <controlPr defaultSize="0" autoFill="0" autoLine="0" autoPict="0">
                <anchor moveWithCells="1">
                  <from>
                    <xdr:col>5</xdr:col>
                    <xdr:colOff>57150</xdr:colOff>
                    <xdr:row>23</xdr:row>
                    <xdr:rowOff>85725</xdr:rowOff>
                  </from>
                  <to>
                    <xdr:col>5</xdr:col>
                    <xdr:colOff>971550</xdr:colOff>
                    <xdr:row>24</xdr:row>
                    <xdr:rowOff>114300</xdr:rowOff>
                  </to>
                </anchor>
              </controlPr>
            </control>
          </mc:Choice>
        </mc:AlternateContent>
        <mc:AlternateContent xmlns:mc="http://schemas.openxmlformats.org/markup-compatibility/2006">
          <mc:Choice Requires="x14">
            <control shapeId="14346" r:id="rId8" name="Check Box 10">
              <controlPr defaultSize="0" autoFill="0" autoLine="0" autoPict="0">
                <anchor moveWithCells="1">
                  <from>
                    <xdr:col>1</xdr:col>
                    <xdr:colOff>76200</xdr:colOff>
                    <xdr:row>13</xdr:row>
                    <xdr:rowOff>0</xdr:rowOff>
                  </from>
                  <to>
                    <xdr:col>1</xdr:col>
                    <xdr:colOff>857250</xdr:colOff>
                    <xdr:row>14</xdr:row>
                    <xdr:rowOff>19050</xdr:rowOff>
                  </to>
                </anchor>
              </controlPr>
            </control>
          </mc:Choice>
        </mc:AlternateContent>
        <mc:AlternateContent xmlns:mc="http://schemas.openxmlformats.org/markup-compatibility/2006">
          <mc:Choice Requires="x14">
            <control shapeId="14347" r:id="rId9" name="Check Box 11">
              <controlPr defaultSize="0" autoFill="0" autoLine="0" autoPict="0">
                <anchor moveWithCells="1">
                  <from>
                    <xdr:col>1</xdr:col>
                    <xdr:colOff>76200</xdr:colOff>
                    <xdr:row>14</xdr:row>
                    <xdr:rowOff>0</xdr:rowOff>
                  </from>
                  <to>
                    <xdr:col>1</xdr:col>
                    <xdr:colOff>857250</xdr:colOff>
                    <xdr:row>15</xdr:row>
                    <xdr:rowOff>19050</xdr:rowOff>
                  </to>
                </anchor>
              </controlPr>
            </control>
          </mc:Choice>
        </mc:AlternateContent>
        <mc:AlternateContent xmlns:mc="http://schemas.openxmlformats.org/markup-compatibility/2006">
          <mc:Choice Requires="x14">
            <control shapeId="14349" r:id="rId10" name="Check Box 13">
              <controlPr defaultSize="0" autoFill="0" autoLine="0" autoPict="0">
                <anchor moveWithCells="1">
                  <from>
                    <xdr:col>1</xdr:col>
                    <xdr:colOff>85725</xdr:colOff>
                    <xdr:row>35</xdr:row>
                    <xdr:rowOff>38100</xdr:rowOff>
                  </from>
                  <to>
                    <xdr:col>2</xdr:col>
                    <xdr:colOff>561975</xdr:colOff>
                    <xdr:row>35</xdr:row>
                    <xdr:rowOff>247650</xdr:rowOff>
                  </to>
                </anchor>
              </controlPr>
            </control>
          </mc:Choice>
        </mc:AlternateContent>
        <mc:AlternateContent xmlns:mc="http://schemas.openxmlformats.org/markup-compatibility/2006">
          <mc:Choice Requires="x14">
            <control shapeId="14350" r:id="rId11" name="Check Box 14">
              <controlPr defaultSize="0" autoFill="0" autoLine="0" autoPict="0">
                <anchor moveWithCells="1" sizeWithCells="1">
                  <from>
                    <xdr:col>1</xdr:col>
                    <xdr:colOff>85725</xdr:colOff>
                    <xdr:row>36</xdr:row>
                    <xdr:rowOff>38100</xdr:rowOff>
                  </from>
                  <to>
                    <xdr:col>2</xdr:col>
                    <xdr:colOff>647700</xdr:colOff>
                    <xdr:row>36</xdr:row>
                    <xdr:rowOff>247650</xdr:rowOff>
                  </to>
                </anchor>
              </controlPr>
            </control>
          </mc:Choice>
        </mc:AlternateContent>
        <mc:AlternateContent xmlns:mc="http://schemas.openxmlformats.org/markup-compatibility/2006">
          <mc:Choice Requires="x14">
            <control shapeId="14351" r:id="rId12" name="Check Box 15">
              <controlPr defaultSize="0" autoFill="0" autoLine="0" autoPict="0">
                <anchor moveWithCells="1">
                  <from>
                    <xdr:col>1</xdr:col>
                    <xdr:colOff>9525</xdr:colOff>
                    <xdr:row>6</xdr:row>
                    <xdr:rowOff>0</xdr:rowOff>
                  </from>
                  <to>
                    <xdr:col>2</xdr:col>
                    <xdr:colOff>847725</xdr:colOff>
                    <xdr:row>7</xdr:row>
                    <xdr:rowOff>9525</xdr:rowOff>
                  </to>
                </anchor>
              </controlPr>
            </control>
          </mc:Choice>
        </mc:AlternateContent>
        <mc:AlternateContent xmlns:mc="http://schemas.openxmlformats.org/markup-compatibility/2006">
          <mc:Choice Requires="x14">
            <control shapeId="14352" r:id="rId13" name="Check Box 16">
              <controlPr defaultSize="0" autoFill="0" autoLine="0" autoPict="0">
                <anchor moveWithCells="1">
                  <from>
                    <xdr:col>1</xdr:col>
                    <xdr:colOff>9525</xdr:colOff>
                    <xdr:row>6</xdr:row>
                    <xdr:rowOff>200025</xdr:rowOff>
                  </from>
                  <to>
                    <xdr:col>2</xdr:col>
                    <xdr:colOff>847725</xdr:colOff>
                    <xdr:row>8</xdr:row>
                    <xdr:rowOff>0</xdr:rowOff>
                  </to>
                </anchor>
              </controlPr>
            </control>
          </mc:Choice>
        </mc:AlternateContent>
        <mc:AlternateContent xmlns:mc="http://schemas.openxmlformats.org/markup-compatibility/2006">
          <mc:Choice Requires="x14">
            <control shapeId="14355" r:id="rId14" name="Check Box 19">
              <controlPr defaultSize="0" autoFill="0" autoLine="0" autoPict="0">
                <anchor moveWithCells="1">
                  <from>
                    <xdr:col>3</xdr:col>
                    <xdr:colOff>19050</xdr:colOff>
                    <xdr:row>6</xdr:row>
                    <xdr:rowOff>0</xdr:rowOff>
                  </from>
                  <to>
                    <xdr:col>5</xdr:col>
                    <xdr:colOff>419100</xdr:colOff>
                    <xdr:row>7</xdr:row>
                    <xdr:rowOff>9525</xdr:rowOff>
                  </to>
                </anchor>
              </controlPr>
            </control>
          </mc:Choice>
        </mc:AlternateContent>
        <mc:AlternateContent xmlns:mc="http://schemas.openxmlformats.org/markup-compatibility/2006">
          <mc:Choice Requires="x14">
            <control shapeId="14356" r:id="rId15" name="Check Box 20">
              <controlPr defaultSize="0" autoFill="0" autoLine="0" autoPict="0">
                <anchor moveWithCells="1">
                  <from>
                    <xdr:col>3</xdr:col>
                    <xdr:colOff>19050</xdr:colOff>
                    <xdr:row>6</xdr:row>
                    <xdr:rowOff>200025</xdr:rowOff>
                  </from>
                  <to>
                    <xdr:col>5</xdr:col>
                    <xdr:colOff>419100</xdr:colOff>
                    <xdr:row>8</xdr:row>
                    <xdr:rowOff>0</xdr:rowOff>
                  </to>
                </anchor>
              </controlPr>
            </control>
          </mc:Choice>
        </mc:AlternateContent>
        <mc:AlternateContent xmlns:mc="http://schemas.openxmlformats.org/markup-compatibility/2006">
          <mc:Choice Requires="x14">
            <control shapeId="14357" r:id="rId16" name="Check Box 21">
              <controlPr defaultSize="0" autoFill="0" autoLine="0" autoPict="0">
                <anchor moveWithCells="1">
                  <from>
                    <xdr:col>4</xdr:col>
                    <xdr:colOff>95250</xdr:colOff>
                    <xdr:row>42</xdr:row>
                    <xdr:rowOff>28575</xdr:rowOff>
                  </from>
                  <to>
                    <xdr:col>4</xdr:col>
                    <xdr:colOff>876300</xdr:colOff>
                    <xdr:row>42</xdr:row>
                    <xdr:rowOff>238125</xdr:rowOff>
                  </to>
                </anchor>
              </controlPr>
            </control>
          </mc:Choice>
        </mc:AlternateContent>
        <mc:AlternateContent xmlns:mc="http://schemas.openxmlformats.org/markup-compatibility/2006">
          <mc:Choice Requires="x14">
            <control shapeId="14358" r:id="rId17" name="Check Box 22">
              <controlPr defaultSize="0" autoFill="0" autoLine="0" autoPict="0">
                <anchor moveWithCells="1">
                  <from>
                    <xdr:col>5</xdr:col>
                    <xdr:colOff>95250</xdr:colOff>
                    <xdr:row>42</xdr:row>
                    <xdr:rowOff>28575</xdr:rowOff>
                  </from>
                  <to>
                    <xdr:col>5</xdr:col>
                    <xdr:colOff>876300</xdr:colOff>
                    <xdr:row>42</xdr:row>
                    <xdr:rowOff>238125</xdr:rowOff>
                  </to>
                </anchor>
              </controlPr>
            </control>
          </mc:Choice>
        </mc:AlternateContent>
        <mc:AlternateContent xmlns:mc="http://schemas.openxmlformats.org/markup-compatibility/2006">
          <mc:Choice Requires="x14">
            <control shapeId="14359" r:id="rId18" name="Check Box 23">
              <controlPr defaultSize="0" autoFill="0" autoLine="0" autoPict="0">
                <anchor moveWithCells="1">
                  <from>
                    <xdr:col>2</xdr:col>
                    <xdr:colOff>9525</xdr:colOff>
                    <xdr:row>43</xdr:row>
                    <xdr:rowOff>28575</xdr:rowOff>
                  </from>
                  <to>
                    <xdr:col>3</xdr:col>
                    <xdr:colOff>942975</xdr:colOff>
                    <xdr:row>43</xdr:row>
                    <xdr:rowOff>228600</xdr:rowOff>
                  </to>
                </anchor>
              </controlPr>
            </control>
          </mc:Choice>
        </mc:AlternateContent>
        <mc:AlternateContent xmlns:mc="http://schemas.openxmlformats.org/markup-compatibility/2006">
          <mc:Choice Requires="x14">
            <control shapeId="14360" r:id="rId19" name="Check Box 24">
              <controlPr defaultSize="0" autoFill="0" autoLine="0" autoPict="0">
                <anchor moveWithCells="1">
                  <from>
                    <xdr:col>2</xdr:col>
                    <xdr:colOff>9525</xdr:colOff>
                    <xdr:row>44</xdr:row>
                    <xdr:rowOff>28575</xdr:rowOff>
                  </from>
                  <to>
                    <xdr:col>3</xdr:col>
                    <xdr:colOff>942975</xdr:colOff>
                    <xdr:row>44</xdr:row>
                    <xdr:rowOff>228600</xdr:rowOff>
                  </to>
                </anchor>
              </controlPr>
            </control>
          </mc:Choice>
        </mc:AlternateContent>
        <mc:AlternateContent xmlns:mc="http://schemas.openxmlformats.org/markup-compatibility/2006">
          <mc:Choice Requires="x14">
            <control shapeId="14361" r:id="rId20" name="Check Box 25">
              <controlPr defaultSize="0" autoFill="0" autoLine="0" autoPict="0">
                <anchor moveWithCells="1">
                  <from>
                    <xdr:col>4</xdr:col>
                    <xdr:colOff>9525</xdr:colOff>
                    <xdr:row>43</xdr:row>
                    <xdr:rowOff>28575</xdr:rowOff>
                  </from>
                  <to>
                    <xdr:col>5</xdr:col>
                    <xdr:colOff>942975</xdr:colOff>
                    <xdr:row>43</xdr:row>
                    <xdr:rowOff>228600</xdr:rowOff>
                  </to>
                </anchor>
              </controlPr>
            </control>
          </mc:Choice>
        </mc:AlternateContent>
        <mc:AlternateContent xmlns:mc="http://schemas.openxmlformats.org/markup-compatibility/2006">
          <mc:Choice Requires="x14">
            <control shapeId="14362" r:id="rId21" name="Check Box 26">
              <controlPr defaultSize="0" autoFill="0" autoLine="0" autoPict="0">
                <anchor moveWithCells="1">
                  <from>
                    <xdr:col>4</xdr:col>
                    <xdr:colOff>104775</xdr:colOff>
                    <xdr:row>46</xdr:row>
                    <xdr:rowOff>95250</xdr:rowOff>
                  </from>
                  <to>
                    <xdr:col>4</xdr:col>
                    <xdr:colOff>885825</xdr:colOff>
                    <xdr:row>46</xdr:row>
                    <xdr:rowOff>304800</xdr:rowOff>
                  </to>
                </anchor>
              </controlPr>
            </control>
          </mc:Choice>
        </mc:AlternateContent>
        <mc:AlternateContent xmlns:mc="http://schemas.openxmlformats.org/markup-compatibility/2006">
          <mc:Choice Requires="x14">
            <control shapeId="14363" r:id="rId22" name="Check Box 27">
              <controlPr defaultSize="0" autoFill="0" autoLine="0" autoPict="0">
                <anchor moveWithCells="1">
                  <from>
                    <xdr:col>5</xdr:col>
                    <xdr:colOff>95250</xdr:colOff>
                    <xdr:row>46</xdr:row>
                    <xdr:rowOff>95250</xdr:rowOff>
                  </from>
                  <to>
                    <xdr:col>5</xdr:col>
                    <xdr:colOff>876300</xdr:colOff>
                    <xdr:row>46</xdr:row>
                    <xdr:rowOff>304800</xdr:rowOff>
                  </to>
                </anchor>
              </controlPr>
            </control>
          </mc:Choice>
        </mc:AlternateContent>
        <mc:AlternateContent xmlns:mc="http://schemas.openxmlformats.org/markup-compatibility/2006">
          <mc:Choice Requires="x14">
            <control shapeId="14364" r:id="rId23" name="Check Box 28">
              <controlPr defaultSize="0" autoFill="0" autoLine="0" autoPict="0">
                <anchor moveWithCells="1">
                  <from>
                    <xdr:col>2</xdr:col>
                    <xdr:colOff>9525</xdr:colOff>
                    <xdr:row>49</xdr:row>
                    <xdr:rowOff>28575</xdr:rowOff>
                  </from>
                  <to>
                    <xdr:col>3</xdr:col>
                    <xdr:colOff>942975</xdr:colOff>
                    <xdr:row>49</xdr:row>
                    <xdr:rowOff>228600</xdr:rowOff>
                  </to>
                </anchor>
              </controlPr>
            </control>
          </mc:Choice>
        </mc:AlternateContent>
        <mc:AlternateContent xmlns:mc="http://schemas.openxmlformats.org/markup-compatibility/2006">
          <mc:Choice Requires="x14">
            <control shapeId="14365" r:id="rId24" name="Check Box 29">
              <controlPr defaultSize="0" autoFill="0" autoLine="0" autoPict="0">
                <anchor moveWithCells="1">
                  <from>
                    <xdr:col>2</xdr:col>
                    <xdr:colOff>9525</xdr:colOff>
                    <xdr:row>50</xdr:row>
                    <xdr:rowOff>19050</xdr:rowOff>
                  </from>
                  <to>
                    <xdr:col>5</xdr:col>
                    <xdr:colOff>752475</xdr:colOff>
                    <xdr:row>50</xdr:row>
                    <xdr:rowOff>219075</xdr:rowOff>
                  </to>
                </anchor>
              </controlPr>
            </control>
          </mc:Choice>
        </mc:AlternateContent>
        <mc:AlternateContent xmlns:mc="http://schemas.openxmlformats.org/markup-compatibility/2006">
          <mc:Choice Requires="x14">
            <control shapeId="14366" r:id="rId25" name="Check Box 30">
              <controlPr defaultSize="0" autoFill="0" autoLine="0" autoPict="0">
                <anchor moveWithCells="1">
                  <from>
                    <xdr:col>4</xdr:col>
                    <xdr:colOff>19050</xdr:colOff>
                    <xdr:row>49</xdr:row>
                    <xdr:rowOff>28575</xdr:rowOff>
                  </from>
                  <to>
                    <xdr:col>5</xdr:col>
                    <xdr:colOff>952500</xdr:colOff>
                    <xdr:row>49</xdr:row>
                    <xdr:rowOff>228600</xdr:rowOff>
                  </to>
                </anchor>
              </controlPr>
            </control>
          </mc:Choice>
        </mc:AlternateContent>
        <mc:AlternateContent xmlns:mc="http://schemas.openxmlformats.org/markup-compatibility/2006">
          <mc:Choice Requires="x14">
            <control shapeId="14368" r:id="rId26" name="Check Box 32">
              <controlPr defaultSize="0" autoFill="0" autoLine="0" autoPict="0">
                <anchor moveWithCells="1">
                  <from>
                    <xdr:col>0</xdr:col>
                    <xdr:colOff>438150</xdr:colOff>
                    <xdr:row>55</xdr:row>
                    <xdr:rowOff>104775</xdr:rowOff>
                  </from>
                  <to>
                    <xdr:col>0</xdr:col>
                    <xdr:colOff>1219200</xdr:colOff>
                    <xdr:row>55</xdr:row>
                    <xdr:rowOff>295275</xdr:rowOff>
                  </to>
                </anchor>
              </controlPr>
            </control>
          </mc:Choice>
        </mc:AlternateContent>
        <mc:AlternateContent xmlns:mc="http://schemas.openxmlformats.org/markup-compatibility/2006">
          <mc:Choice Requires="x14">
            <control shapeId="14369" r:id="rId27" name="Check Box 33">
              <controlPr defaultSize="0" autoFill="0" autoLine="0" autoPict="0">
                <anchor moveWithCells="1">
                  <from>
                    <xdr:col>0</xdr:col>
                    <xdr:colOff>438150</xdr:colOff>
                    <xdr:row>56</xdr:row>
                    <xdr:rowOff>114300</xdr:rowOff>
                  </from>
                  <to>
                    <xdr:col>0</xdr:col>
                    <xdr:colOff>1219200</xdr:colOff>
                    <xdr:row>56</xdr:row>
                    <xdr:rowOff>304800</xdr:rowOff>
                  </to>
                </anchor>
              </controlPr>
            </control>
          </mc:Choice>
        </mc:AlternateContent>
        <mc:AlternateContent xmlns:mc="http://schemas.openxmlformats.org/markup-compatibility/2006">
          <mc:Choice Requires="x14">
            <control shapeId="14370" r:id="rId28" name="Check Box 34">
              <controlPr defaultSize="0" autoFill="0" autoLine="0" autoPict="0">
                <anchor moveWithCells="1">
                  <from>
                    <xdr:col>0</xdr:col>
                    <xdr:colOff>438150</xdr:colOff>
                    <xdr:row>58</xdr:row>
                    <xdr:rowOff>9525</xdr:rowOff>
                  </from>
                  <to>
                    <xdr:col>0</xdr:col>
                    <xdr:colOff>1219200</xdr:colOff>
                    <xdr:row>58</xdr:row>
                    <xdr:rowOff>219075</xdr:rowOff>
                  </to>
                </anchor>
              </controlPr>
            </control>
          </mc:Choice>
        </mc:AlternateContent>
        <mc:AlternateContent xmlns:mc="http://schemas.openxmlformats.org/markup-compatibility/2006">
          <mc:Choice Requires="x14">
            <control shapeId="14371" r:id="rId29" name="Check Box 35">
              <controlPr defaultSize="0" autoFill="0" autoLine="0" autoPict="0">
                <anchor moveWithCells="1">
                  <from>
                    <xdr:col>0</xdr:col>
                    <xdr:colOff>438150</xdr:colOff>
                    <xdr:row>59</xdr:row>
                    <xdr:rowOff>0</xdr:rowOff>
                  </from>
                  <to>
                    <xdr:col>0</xdr:col>
                    <xdr:colOff>1219200</xdr:colOff>
                    <xdr:row>59</xdr:row>
                    <xdr:rowOff>209550</xdr:rowOff>
                  </to>
                </anchor>
              </controlPr>
            </control>
          </mc:Choice>
        </mc:AlternateContent>
        <mc:AlternateContent xmlns:mc="http://schemas.openxmlformats.org/markup-compatibility/2006">
          <mc:Choice Requires="x14">
            <control shapeId="14372" r:id="rId30" name="Check Box 36">
              <controlPr defaultSize="0" autoFill="0" autoLine="0" autoPict="0">
                <anchor moveWithCells="1">
                  <from>
                    <xdr:col>0</xdr:col>
                    <xdr:colOff>438150</xdr:colOff>
                    <xdr:row>61</xdr:row>
                    <xdr:rowOff>28575</xdr:rowOff>
                  </from>
                  <to>
                    <xdr:col>0</xdr:col>
                    <xdr:colOff>1219200</xdr:colOff>
                    <xdr:row>61</xdr:row>
                    <xdr:rowOff>238125</xdr:rowOff>
                  </to>
                </anchor>
              </controlPr>
            </control>
          </mc:Choice>
        </mc:AlternateContent>
        <mc:AlternateContent xmlns:mc="http://schemas.openxmlformats.org/markup-compatibility/2006">
          <mc:Choice Requires="x14">
            <control shapeId="14373" r:id="rId31" name="Check Box 37">
              <controlPr defaultSize="0" autoFill="0" autoLine="0" autoPict="0">
                <anchor moveWithCells="1">
                  <from>
                    <xdr:col>0</xdr:col>
                    <xdr:colOff>438150</xdr:colOff>
                    <xdr:row>62</xdr:row>
                    <xdr:rowOff>28575</xdr:rowOff>
                  </from>
                  <to>
                    <xdr:col>0</xdr:col>
                    <xdr:colOff>1219200</xdr:colOff>
                    <xdr:row>62</xdr:row>
                    <xdr:rowOff>238125</xdr:rowOff>
                  </to>
                </anchor>
              </controlPr>
            </control>
          </mc:Choice>
        </mc:AlternateContent>
        <mc:AlternateContent xmlns:mc="http://schemas.openxmlformats.org/markup-compatibility/2006">
          <mc:Choice Requires="x14">
            <control shapeId="14374" r:id="rId32" name="Check Box 38">
              <controlPr defaultSize="0" autoFill="0" autoLine="0" autoPict="0">
                <anchor moveWithCells="1">
                  <from>
                    <xdr:col>0</xdr:col>
                    <xdr:colOff>438150</xdr:colOff>
                    <xdr:row>63</xdr:row>
                    <xdr:rowOff>28575</xdr:rowOff>
                  </from>
                  <to>
                    <xdr:col>0</xdr:col>
                    <xdr:colOff>1219200</xdr:colOff>
                    <xdr:row>63</xdr:row>
                    <xdr:rowOff>238125</xdr:rowOff>
                  </to>
                </anchor>
              </controlPr>
            </control>
          </mc:Choice>
        </mc:AlternateContent>
        <mc:AlternateContent xmlns:mc="http://schemas.openxmlformats.org/markup-compatibility/2006">
          <mc:Choice Requires="x14">
            <control shapeId="14375" r:id="rId33" name="Check Box 39">
              <controlPr defaultSize="0" autoFill="0" autoLine="0" autoPict="0">
                <anchor moveWithCells="1">
                  <from>
                    <xdr:col>0</xdr:col>
                    <xdr:colOff>438150</xdr:colOff>
                    <xdr:row>65</xdr:row>
                    <xdr:rowOff>219075</xdr:rowOff>
                  </from>
                  <to>
                    <xdr:col>0</xdr:col>
                    <xdr:colOff>1219200</xdr:colOff>
                    <xdr:row>65</xdr:row>
                    <xdr:rowOff>428625</xdr:rowOff>
                  </to>
                </anchor>
              </controlPr>
            </control>
          </mc:Choice>
        </mc:AlternateContent>
        <mc:AlternateContent xmlns:mc="http://schemas.openxmlformats.org/markup-compatibility/2006">
          <mc:Choice Requires="x14">
            <control shapeId="14376" r:id="rId34" name="Check Box 40">
              <controlPr defaultSize="0" autoFill="0" autoLine="0" autoPict="0">
                <anchor moveWithCells="1">
                  <from>
                    <xdr:col>0</xdr:col>
                    <xdr:colOff>438150</xdr:colOff>
                    <xdr:row>66</xdr:row>
                    <xdr:rowOff>219075</xdr:rowOff>
                  </from>
                  <to>
                    <xdr:col>0</xdr:col>
                    <xdr:colOff>1219200</xdr:colOff>
                    <xdr:row>66</xdr:row>
                    <xdr:rowOff>428625</xdr:rowOff>
                  </to>
                </anchor>
              </controlPr>
            </control>
          </mc:Choice>
        </mc:AlternateContent>
        <mc:AlternateContent xmlns:mc="http://schemas.openxmlformats.org/markup-compatibility/2006">
          <mc:Choice Requires="x14">
            <control shapeId="14377" r:id="rId35" name="Check Box 41">
              <controlPr defaultSize="0" autoFill="0" autoLine="0" autoPict="0">
                <anchor moveWithCells="1">
                  <from>
                    <xdr:col>1</xdr:col>
                    <xdr:colOff>28575</xdr:colOff>
                    <xdr:row>64</xdr:row>
                    <xdr:rowOff>390525</xdr:rowOff>
                  </from>
                  <to>
                    <xdr:col>3</xdr:col>
                    <xdr:colOff>0</xdr:colOff>
                    <xdr:row>64</xdr:row>
                    <xdr:rowOff>571500</xdr:rowOff>
                  </to>
                </anchor>
              </controlPr>
            </control>
          </mc:Choice>
        </mc:AlternateContent>
        <mc:AlternateContent xmlns:mc="http://schemas.openxmlformats.org/markup-compatibility/2006">
          <mc:Choice Requires="x14">
            <control shapeId="14378" r:id="rId36" name="Check Box 42">
              <controlPr defaultSize="0" autoFill="0" autoLine="0" autoPict="0">
                <anchor moveWithCells="1">
                  <from>
                    <xdr:col>1</xdr:col>
                    <xdr:colOff>28575</xdr:colOff>
                    <xdr:row>65</xdr:row>
                    <xdr:rowOff>161925</xdr:rowOff>
                  </from>
                  <to>
                    <xdr:col>5</xdr:col>
                    <xdr:colOff>742950</xdr:colOff>
                    <xdr:row>65</xdr:row>
                    <xdr:rowOff>523875</xdr:rowOff>
                  </to>
                </anchor>
              </controlPr>
            </control>
          </mc:Choice>
        </mc:AlternateContent>
        <mc:AlternateContent xmlns:mc="http://schemas.openxmlformats.org/markup-compatibility/2006">
          <mc:Choice Requires="x14">
            <control shapeId="14381" r:id="rId37" name="Check Box 45">
              <controlPr defaultSize="0" autoFill="0" autoLine="0" autoPict="0">
                <anchor moveWithCells="1">
                  <from>
                    <xdr:col>1</xdr:col>
                    <xdr:colOff>76200</xdr:colOff>
                    <xdr:row>23</xdr:row>
                    <xdr:rowOff>0</xdr:rowOff>
                  </from>
                  <to>
                    <xdr:col>1</xdr:col>
                    <xdr:colOff>857250</xdr:colOff>
                    <xdr:row>24</xdr:row>
                    <xdr:rowOff>19050</xdr:rowOff>
                  </to>
                </anchor>
              </controlPr>
            </control>
          </mc:Choice>
        </mc:AlternateContent>
        <mc:AlternateContent xmlns:mc="http://schemas.openxmlformats.org/markup-compatibility/2006">
          <mc:Choice Requires="x14">
            <control shapeId="14382" r:id="rId38" name="Check Box 46">
              <controlPr defaultSize="0" autoFill="0" autoLine="0" autoPict="0">
                <anchor moveWithCells="1">
                  <from>
                    <xdr:col>1</xdr:col>
                    <xdr:colOff>76200</xdr:colOff>
                    <xdr:row>24</xdr:row>
                    <xdr:rowOff>0</xdr:rowOff>
                  </from>
                  <to>
                    <xdr:col>1</xdr:col>
                    <xdr:colOff>857250</xdr:colOff>
                    <xdr:row>25</xdr:row>
                    <xdr:rowOff>19050</xdr:rowOff>
                  </to>
                </anchor>
              </controlPr>
            </control>
          </mc:Choice>
        </mc:AlternateContent>
        <mc:AlternateContent xmlns:mc="http://schemas.openxmlformats.org/markup-compatibility/2006">
          <mc:Choice Requires="x14">
            <control shapeId="14383" r:id="rId39" name="Check Box 47">
              <controlPr defaultSize="0" autoFill="0" autoLine="0" autoPict="0">
                <anchor moveWithCells="1">
                  <from>
                    <xdr:col>1</xdr:col>
                    <xdr:colOff>76200</xdr:colOff>
                    <xdr:row>25</xdr:row>
                    <xdr:rowOff>0</xdr:rowOff>
                  </from>
                  <to>
                    <xdr:col>1</xdr:col>
                    <xdr:colOff>857250</xdr:colOff>
                    <xdr:row>26</xdr:row>
                    <xdr:rowOff>19050</xdr:rowOff>
                  </to>
                </anchor>
              </controlPr>
            </control>
          </mc:Choice>
        </mc:AlternateContent>
        <mc:AlternateContent xmlns:mc="http://schemas.openxmlformats.org/markup-compatibility/2006">
          <mc:Choice Requires="x14">
            <control shapeId="14384" r:id="rId40" name="Check Box 48">
              <controlPr defaultSize="0" autoFill="0" autoLine="0" autoPict="0">
                <anchor moveWithCells="1">
                  <from>
                    <xdr:col>1</xdr:col>
                    <xdr:colOff>76200</xdr:colOff>
                    <xdr:row>26</xdr:row>
                    <xdr:rowOff>0</xdr:rowOff>
                  </from>
                  <to>
                    <xdr:col>1</xdr:col>
                    <xdr:colOff>857250</xdr:colOff>
                    <xdr:row>27</xdr:row>
                    <xdr:rowOff>19050</xdr:rowOff>
                  </to>
                </anchor>
              </controlPr>
            </control>
          </mc:Choice>
        </mc:AlternateContent>
        <mc:AlternateContent xmlns:mc="http://schemas.openxmlformats.org/markup-compatibility/2006">
          <mc:Choice Requires="x14">
            <control shapeId="14385" r:id="rId41" name="Check Box 49">
              <controlPr defaultSize="0" autoFill="0" autoLine="0" autoPict="0">
                <anchor moveWithCells="1">
                  <from>
                    <xdr:col>2</xdr:col>
                    <xdr:colOff>9525</xdr:colOff>
                    <xdr:row>51</xdr:row>
                    <xdr:rowOff>28575</xdr:rowOff>
                  </from>
                  <to>
                    <xdr:col>3</xdr:col>
                    <xdr:colOff>942975</xdr:colOff>
                    <xdr:row>51</xdr:row>
                    <xdr:rowOff>228600</xdr:rowOff>
                  </to>
                </anchor>
              </controlPr>
            </control>
          </mc:Choice>
        </mc:AlternateContent>
        <mc:AlternateContent xmlns:mc="http://schemas.openxmlformats.org/markup-compatibility/2006">
          <mc:Choice Requires="x14">
            <control shapeId="14386" r:id="rId42" name="Check Box 50">
              <controlPr defaultSize="0" autoFill="0" autoLine="0" autoPict="0">
                <anchor moveWithCells="1">
                  <from>
                    <xdr:col>4</xdr:col>
                    <xdr:colOff>19050</xdr:colOff>
                    <xdr:row>51</xdr:row>
                    <xdr:rowOff>28575</xdr:rowOff>
                  </from>
                  <to>
                    <xdr:col>5</xdr:col>
                    <xdr:colOff>952500</xdr:colOff>
                    <xdr:row>51</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rgb="FF002060"/>
    <pageSetUpPr fitToPage="1"/>
  </sheetPr>
  <dimension ref="A1:O27"/>
  <sheetViews>
    <sheetView zoomScaleNormal="100" workbookViewId="0">
      <selection sqref="A1:I1"/>
    </sheetView>
  </sheetViews>
  <sheetFormatPr defaultRowHeight="15" x14ac:dyDescent="0.25"/>
  <cols>
    <col min="1" max="1" width="29.7109375" style="64" customWidth="1"/>
    <col min="2" max="6" width="22.7109375" style="64" customWidth="1"/>
    <col min="7" max="16384" width="9.140625" style="64"/>
  </cols>
  <sheetData>
    <row r="1" spans="1:15" s="69" customFormat="1" ht="26.25" customHeight="1" thickBot="1" x14ac:dyDescent="0.3">
      <c r="A1" s="1255" t="s">
        <v>2335</v>
      </c>
      <c r="B1" s="1255"/>
      <c r="C1" s="1255"/>
      <c r="D1" s="1255"/>
      <c r="E1" s="1255"/>
      <c r="F1" s="1255"/>
      <c r="G1" s="1255"/>
      <c r="H1" s="1255"/>
      <c r="I1" s="1255"/>
      <c r="J1" s="79"/>
      <c r="K1" s="79"/>
      <c r="L1" s="79"/>
    </row>
    <row r="2" spans="1:15" s="68" customFormat="1" ht="20.100000000000001" customHeight="1" x14ac:dyDescent="0.25">
      <c r="A2" s="1257" t="s">
        <v>2336</v>
      </c>
      <c r="B2" s="1257"/>
      <c r="C2" s="1257"/>
      <c r="D2" s="1257"/>
      <c r="E2" s="1257"/>
      <c r="F2" s="1257"/>
      <c r="G2" s="1257"/>
      <c r="H2" s="1257"/>
      <c r="I2" s="1257"/>
      <c r="J2" s="122"/>
      <c r="K2" s="122"/>
      <c r="L2" s="122"/>
    </row>
    <row r="3" spans="1:15" ht="20.100000000000001" customHeight="1" x14ac:dyDescent="0.25">
      <c r="A3" s="1204" t="s">
        <v>1623</v>
      </c>
      <c r="B3" s="1204"/>
      <c r="C3" s="1204"/>
      <c r="D3" s="1204"/>
      <c r="E3" s="1204"/>
      <c r="F3" s="1204"/>
      <c r="G3" s="1204"/>
      <c r="H3" s="1204"/>
      <c r="I3" s="1204"/>
      <c r="J3" s="123"/>
      <c r="K3" s="123"/>
      <c r="L3" s="123"/>
    </row>
    <row r="4" spans="1:15" ht="35.1" customHeight="1" x14ac:dyDescent="0.25">
      <c r="A4" s="1204" t="s">
        <v>1626</v>
      </c>
      <c r="B4" s="1204"/>
      <c r="C4" s="1204"/>
      <c r="D4" s="1204"/>
      <c r="E4" s="1204"/>
      <c r="F4" s="1204"/>
      <c r="G4" s="1204"/>
      <c r="H4" s="1204"/>
      <c r="I4" s="1204"/>
      <c r="J4" s="123"/>
      <c r="K4" s="123"/>
      <c r="L4" s="123"/>
    </row>
    <row r="5" spans="1:15" ht="20.100000000000001" customHeight="1" x14ac:dyDescent="0.25">
      <c r="A5" s="1204" t="s">
        <v>1624</v>
      </c>
      <c r="B5" s="1204"/>
      <c r="C5" s="1204"/>
      <c r="D5" s="1204"/>
      <c r="E5" s="1204"/>
      <c r="F5" s="1204"/>
      <c r="G5" s="1204"/>
      <c r="H5" s="1204"/>
      <c r="I5" s="1204"/>
      <c r="J5" s="123"/>
      <c r="K5" s="123"/>
      <c r="L5" s="123"/>
    </row>
    <row r="6" spans="1:15" ht="20.100000000000001" customHeight="1" thickBot="1" x14ac:dyDescent="0.3">
      <c r="A6" s="1204" t="s">
        <v>1625</v>
      </c>
      <c r="B6" s="1204"/>
      <c r="C6" s="1204"/>
      <c r="D6" s="1204"/>
      <c r="E6" s="1204"/>
      <c r="F6" s="1204"/>
      <c r="G6" s="1204"/>
      <c r="H6" s="1204"/>
      <c r="I6" s="1204"/>
      <c r="J6" s="123"/>
      <c r="K6" s="123"/>
      <c r="L6" s="123"/>
    </row>
    <row r="7" spans="1:15" s="77" customFormat="1" ht="19.5" thickBot="1" x14ac:dyDescent="0.3">
      <c r="A7" s="1211" t="s">
        <v>1537</v>
      </c>
      <c r="B7" s="1211"/>
      <c r="C7" s="1211"/>
      <c r="D7" s="1211"/>
      <c r="E7" s="1211"/>
      <c r="F7" s="1211"/>
      <c r="G7" s="1211"/>
      <c r="H7" s="1211"/>
      <c r="I7" s="1211"/>
      <c r="J7" s="90"/>
      <c r="K7" s="90"/>
      <c r="L7" s="90"/>
    </row>
    <row r="8" spans="1:15" ht="60" customHeight="1" x14ac:dyDescent="0.25">
      <c r="A8" s="1404"/>
      <c r="B8" s="1404"/>
      <c r="C8" s="1404"/>
      <c r="D8" s="1404"/>
      <c r="E8" s="1404"/>
      <c r="F8" s="1404"/>
    </row>
    <row r="9" spans="1:15" s="100" customFormat="1" ht="24.95" customHeight="1" x14ac:dyDescent="0.25">
      <c r="A9" s="1405" t="s">
        <v>1408</v>
      </c>
      <c r="B9" s="1405"/>
      <c r="C9" s="1405"/>
      <c r="D9" s="1405"/>
      <c r="E9" s="1405"/>
      <c r="F9" s="1405"/>
      <c r="G9" s="181"/>
      <c r="H9" s="181"/>
      <c r="I9" s="181"/>
      <c r="J9" s="181"/>
      <c r="K9" s="182"/>
      <c r="L9" s="64"/>
      <c r="M9" s="64"/>
      <c r="N9" s="64"/>
      <c r="O9" s="64"/>
    </row>
    <row r="10" spans="1:15" s="100" customFormat="1" ht="24.95" customHeight="1" thickBot="1" x14ac:dyDescent="0.3">
      <c r="A10" s="1408" t="s">
        <v>2334</v>
      </c>
      <c r="B10" s="1408"/>
      <c r="C10" s="1408"/>
      <c r="D10" s="1408"/>
      <c r="E10" s="1408"/>
      <c r="F10" s="843" t="str">
        <f>"Ver."&amp;" "&amp;TEXT(Introduction!$M$3,"MM/YYYY")</f>
        <v>Ver. 01/2025</v>
      </c>
      <c r="G10" s="183"/>
      <c r="H10" s="183"/>
      <c r="I10" s="183"/>
      <c r="J10" s="183"/>
      <c r="K10" s="182"/>
      <c r="L10" s="64"/>
      <c r="M10" s="64"/>
      <c r="N10" s="64"/>
      <c r="O10" s="64"/>
    </row>
    <row r="11" spans="1:15" ht="73.5" customHeight="1" x14ac:dyDescent="0.25">
      <c r="A11" s="1406" t="s">
        <v>1787</v>
      </c>
      <c r="B11" s="605" t="s">
        <v>256</v>
      </c>
      <c r="C11" s="605" t="s">
        <v>2034</v>
      </c>
      <c r="D11" s="1411" t="s">
        <v>257</v>
      </c>
      <c r="E11" s="605" t="s">
        <v>2035</v>
      </c>
      <c r="F11" s="1409" t="s">
        <v>257</v>
      </c>
    </row>
    <row r="12" spans="1:15" ht="20.100000000000001" customHeight="1" thickBot="1" x14ac:dyDescent="0.3">
      <c r="A12" s="1407"/>
      <c r="B12" s="27" t="s">
        <v>261</v>
      </c>
      <c r="C12" s="27" t="s">
        <v>261</v>
      </c>
      <c r="D12" s="1412"/>
      <c r="E12" s="27" t="s">
        <v>261</v>
      </c>
      <c r="F12" s="1417"/>
    </row>
    <row r="13" spans="1:15" ht="13.5" customHeight="1" thickBot="1" x14ac:dyDescent="0.3">
      <c r="A13" s="1414"/>
      <c r="B13" s="1415"/>
      <c r="C13" s="1415"/>
      <c r="D13" s="1415"/>
      <c r="E13" s="1415"/>
      <c r="F13" s="1416"/>
    </row>
    <row r="14" spans="1:15" ht="20.100000000000001" customHeight="1" x14ac:dyDescent="0.25">
      <c r="A14" s="22" t="s">
        <v>258</v>
      </c>
      <c r="B14" s="28">
        <f ca="1">'Table 7-A| Primary APTE'!E82</f>
        <v>0</v>
      </c>
      <c r="C14" s="24">
        <v>15</v>
      </c>
      <c r="D14" s="23" t="str">
        <f ca="1">IF(OR(B14&gt;C14,B14=C14),"Yes","No")</f>
        <v>No</v>
      </c>
      <c r="E14" s="24">
        <v>100</v>
      </c>
      <c r="F14" s="617" t="str">
        <f ca="1">IF(OR(B14&gt;E14,B14=E14),"Yes","No")</f>
        <v>No</v>
      </c>
    </row>
    <row r="15" spans="1:15" ht="20.100000000000001" customHeight="1" x14ac:dyDescent="0.25">
      <c r="A15" s="21" t="s">
        <v>259</v>
      </c>
      <c r="B15" s="29">
        <f ca="1">'Table 7-A| Primary APTE'!E83</f>
        <v>0</v>
      </c>
      <c r="C15" s="20">
        <v>10</v>
      </c>
      <c r="D15" s="19" t="str">
        <f t="shared" ref="D15" ca="1" si="0">IF(OR(B15&gt;C15,B15=C15),"Yes","No")</f>
        <v>No</v>
      </c>
      <c r="E15" s="621"/>
      <c r="F15" s="622" t="s">
        <v>73</v>
      </c>
    </row>
    <row r="16" spans="1:15" ht="20.100000000000001" customHeight="1" x14ac:dyDescent="0.25">
      <c r="A16" s="21" t="s">
        <v>3</v>
      </c>
      <c r="B16" s="29">
        <f ca="1">'Table 7-A| Primary APTE'!E84</f>
        <v>0</v>
      </c>
      <c r="C16" s="20">
        <v>40</v>
      </c>
      <c r="D16" s="19" t="str">
        <f ca="1">IF(OR(B16&gt;C16,B16=C16),"Yes","No")</f>
        <v>No</v>
      </c>
      <c r="E16" s="20">
        <v>100</v>
      </c>
      <c r="F16" s="618" t="str">
        <f t="shared" ref="F16:F19" ca="1" si="1">IF(OR(B16&gt;E16,B16=E16),"Yes","No")</f>
        <v>No</v>
      </c>
    </row>
    <row r="17" spans="1:11" ht="20.100000000000001" customHeight="1" x14ac:dyDescent="0.25">
      <c r="A17" s="21" t="s">
        <v>4</v>
      </c>
      <c r="B17" s="29">
        <f ca="1">'Table 7-A| Primary APTE'!E85</f>
        <v>0</v>
      </c>
      <c r="C17" s="20">
        <v>40</v>
      </c>
      <c r="D17" s="19" t="str">
        <f ca="1">IF(OR(B17&gt;C17,B17=C17),"Yes","No")</f>
        <v>No</v>
      </c>
      <c r="E17" s="20">
        <v>100</v>
      </c>
      <c r="F17" s="618" t="str">
        <f t="shared" ca="1" si="1"/>
        <v>No</v>
      </c>
    </row>
    <row r="18" spans="1:11" ht="20.100000000000001" customHeight="1" x14ac:dyDescent="0.25">
      <c r="A18" s="21" t="s">
        <v>0</v>
      </c>
      <c r="B18" s="29">
        <f ca="1">'Table 7-A| Primary APTE'!E86</f>
        <v>0</v>
      </c>
      <c r="C18" s="20">
        <v>40</v>
      </c>
      <c r="D18" s="19" t="str">
        <f ca="1">IF(OR(B18&gt;C18,B18=C18),"Yes","No")</f>
        <v>No</v>
      </c>
      <c r="E18" s="20">
        <v>100</v>
      </c>
      <c r="F18" s="618" t="str">
        <f t="shared" ca="1" si="1"/>
        <v>No</v>
      </c>
    </row>
    <row r="19" spans="1:11" ht="20.100000000000001" customHeight="1" x14ac:dyDescent="0.25">
      <c r="A19" s="21" t="s">
        <v>5</v>
      </c>
      <c r="B19" s="29">
        <f ca="1">'Table 7-A| Primary APTE'!E87</f>
        <v>0</v>
      </c>
      <c r="C19" s="20">
        <v>50</v>
      </c>
      <c r="D19" s="19" t="str">
        <f ca="1">IF(OR(B19&gt;C19,B19=C19),"Yes","No")</f>
        <v>No</v>
      </c>
      <c r="E19" s="20">
        <v>100</v>
      </c>
      <c r="F19" s="618" t="str">
        <f t="shared" ca="1" si="1"/>
        <v>No</v>
      </c>
    </row>
    <row r="20" spans="1:11" ht="20.100000000000001" customHeight="1" x14ac:dyDescent="0.25">
      <c r="A20" s="21" t="s">
        <v>236</v>
      </c>
      <c r="B20" s="29">
        <f ca="1">'Table 7-A| Primary APTE'!E88</f>
        <v>0</v>
      </c>
      <c r="C20" s="20">
        <v>0.6</v>
      </c>
      <c r="D20" s="19" t="str">
        <f ca="1">IF(OR(B20&gt;C20,B20=C20),"Yes","No")</f>
        <v>No</v>
      </c>
      <c r="E20" s="20">
        <v>5</v>
      </c>
      <c r="F20" s="618" t="str">
        <f t="shared" ref="F20" ca="1" si="2">IF(OR(B20&gt;E20,B20=E20),"Yes","No")</f>
        <v>No</v>
      </c>
    </row>
    <row r="21" spans="1:11" ht="20.100000000000001" customHeight="1" thickBot="1" x14ac:dyDescent="0.3">
      <c r="A21" s="21" t="s">
        <v>2036</v>
      </c>
      <c r="B21" s="29">
        <f ca="1">'Table 7-A| Primary APTE'!E89</f>
        <v>0</v>
      </c>
      <c r="C21" s="608"/>
      <c r="D21" s="609" t="s">
        <v>73</v>
      </c>
      <c r="E21" s="624"/>
      <c r="F21" s="623"/>
      <c r="H21" s="597"/>
      <c r="I21" s="597"/>
      <c r="J21" s="597"/>
      <c r="K21" s="597"/>
    </row>
    <row r="22" spans="1:11" ht="14.25" customHeight="1" thickBot="1" x14ac:dyDescent="0.3">
      <c r="A22" s="1414"/>
      <c r="B22" s="1415"/>
      <c r="C22" s="1415"/>
      <c r="D22" s="1415"/>
      <c r="E22" s="1415"/>
      <c r="F22" s="1416"/>
    </row>
    <row r="23" spans="1:11" ht="72.75" customHeight="1" x14ac:dyDescent="0.25">
      <c r="A23" s="1406" t="s">
        <v>1788</v>
      </c>
      <c r="B23" s="605" t="s">
        <v>256</v>
      </c>
      <c r="C23" s="605" t="s">
        <v>2032</v>
      </c>
      <c r="D23" s="1411" t="s">
        <v>257</v>
      </c>
      <c r="E23" s="605" t="s">
        <v>2033</v>
      </c>
      <c r="F23" s="1409" t="s">
        <v>257</v>
      </c>
    </row>
    <row r="24" spans="1:11" ht="20.100000000000001" customHeight="1" thickBot="1" x14ac:dyDescent="0.3">
      <c r="A24" s="1413"/>
      <c r="B24" s="26" t="s">
        <v>261</v>
      </c>
      <c r="C24" s="27" t="s">
        <v>261</v>
      </c>
      <c r="D24" s="1412"/>
      <c r="E24" s="27" t="s">
        <v>261</v>
      </c>
      <c r="F24" s="1410"/>
    </row>
    <row r="25" spans="1:11" ht="13.5" customHeight="1" thickBot="1" x14ac:dyDescent="0.3">
      <c r="A25" s="606"/>
      <c r="B25" s="607"/>
      <c r="C25" s="607"/>
      <c r="D25" s="607"/>
      <c r="E25" s="607"/>
      <c r="F25" s="619"/>
    </row>
    <row r="26" spans="1:11" ht="20.100000000000001" customHeight="1" x14ac:dyDescent="0.25">
      <c r="A26" s="21" t="s">
        <v>262</v>
      </c>
      <c r="B26" s="29">
        <f>IF('Table 6-B| Emission Limits'!M$23=0,IFERROR(LARGE('Table 7-C| APTE HAP'!$AD$29:$AD$211,1)/2000,0),'Table 6-B| Emission Limits'!M$28)</f>
        <v>0</v>
      </c>
      <c r="C26" s="20">
        <v>2.5</v>
      </c>
      <c r="D26" s="19" t="str">
        <f>IF(OR(B26&gt;C26,B26=C26),"Yes","No")</f>
        <v>No</v>
      </c>
      <c r="E26" s="20">
        <v>10</v>
      </c>
      <c r="F26" s="618" t="str">
        <f>IF(OR(B26&gt;E26,B26=E26),"Yes","No")</f>
        <v>No</v>
      </c>
    </row>
    <row r="27" spans="1:11" ht="20.100000000000001" customHeight="1" thickBot="1" x14ac:dyDescent="0.3">
      <c r="A27" s="449" t="s">
        <v>263</v>
      </c>
      <c r="B27" s="450">
        <f ca="1">IF('Table 6-B| Emission Limits'!N$23=0,'Table 7-A| Primary APTE'!E92,'Table 6-B| Emission Limits'!N$28/2000)</f>
        <v>0</v>
      </c>
      <c r="C27" s="451">
        <v>10</v>
      </c>
      <c r="D27" s="452" t="str">
        <f ca="1">IF(OR(B27&gt;C27,B27=C27),"Yes","No")</f>
        <v>No</v>
      </c>
      <c r="E27" s="451">
        <v>25</v>
      </c>
      <c r="F27" s="620" t="str">
        <f ca="1">IF(OR(B27&gt;E27,B27=E27),"Yes","No")</f>
        <v>No</v>
      </c>
    </row>
  </sheetData>
  <sheetProtection algorithmName="SHA-512" hashValue="/LEH64M9nPcXgAWbNjLWvdUv9PsoPIlcidDp78XRJ5xE0BBB/CBK72Qhu4y/wxm9VIn0+o0l+FCly2Yu8+UwAA==" saltValue="U9FboQMTy5JmcInDJcc8PQ==" spinCount="100000" sheet="1" objects="1" scenarios="1"/>
  <mergeCells count="18">
    <mergeCell ref="A7:I7"/>
    <mergeCell ref="A1:I1"/>
    <mergeCell ref="A2:I2"/>
    <mergeCell ref="A3:I3"/>
    <mergeCell ref="A5:I5"/>
    <mergeCell ref="A6:I6"/>
    <mergeCell ref="A4:I4"/>
    <mergeCell ref="A13:F13"/>
    <mergeCell ref="A23:A24"/>
    <mergeCell ref="D23:D24"/>
    <mergeCell ref="F23:F24"/>
    <mergeCell ref="A8:F8"/>
    <mergeCell ref="A9:F9"/>
    <mergeCell ref="A11:A12"/>
    <mergeCell ref="D11:D12"/>
    <mergeCell ref="F11:F12"/>
    <mergeCell ref="A22:F22"/>
    <mergeCell ref="A10:E10"/>
  </mergeCells>
  <conditionalFormatting sqref="D14:D20">
    <cfRule type="expression" dxfId="40" priority="2">
      <formula>D14="Yes"</formula>
    </cfRule>
  </conditionalFormatting>
  <conditionalFormatting sqref="D21">
    <cfRule type="expression" dxfId="39" priority="4">
      <formula>D21="Yes"</formula>
    </cfRule>
  </conditionalFormatting>
  <conditionalFormatting sqref="D25:D27">
    <cfRule type="expression" dxfId="38" priority="38">
      <formula>D25="Yes"</formula>
    </cfRule>
  </conditionalFormatting>
  <conditionalFormatting sqref="F14:F20">
    <cfRule type="expression" dxfId="37" priority="1">
      <formula>F14="Yes"</formula>
    </cfRule>
  </conditionalFormatting>
  <conditionalFormatting sqref="F21">
    <cfRule type="expression" dxfId="36" priority="5">
      <formula>$F$21="Yes"</formula>
    </cfRule>
  </conditionalFormatting>
  <conditionalFormatting sqref="F23:F27">
    <cfRule type="expression" dxfId="35" priority="3">
      <formula>F23="Yes"</formula>
    </cfRule>
  </conditionalFormatting>
  <printOptions horizontalCentered="1"/>
  <pageMargins left="0.5" right="0.5" top="0.5" bottom="0.5" header="0.3" footer="0.3"/>
  <pageSetup scale="88" fitToHeight="0" orientation="landscape" r:id="rId1"/>
  <headerFooter>
    <oddFooter>&amp;L&amp;A&amp;RPage &amp;P</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2060"/>
    <pageSetUpPr fitToPage="1"/>
  </sheetPr>
  <dimension ref="A1:X189"/>
  <sheetViews>
    <sheetView showGridLines="0" zoomScaleNormal="100" workbookViewId="0">
      <selection sqref="A1:L1"/>
    </sheetView>
  </sheetViews>
  <sheetFormatPr defaultRowHeight="20.100000000000001" customHeight="1" x14ac:dyDescent="0.25"/>
  <cols>
    <col min="1" max="3" width="18.28515625" style="48" customWidth="1"/>
    <col min="4" max="4" width="13.7109375" style="48" customWidth="1"/>
    <col min="5" max="6" width="20.7109375" style="48" customWidth="1"/>
    <col min="7" max="12" width="10.7109375" style="48" customWidth="1"/>
    <col min="13" max="16" width="9.140625" style="48" customWidth="1"/>
    <col min="17" max="17" width="9.140625" style="48"/>
    <col min="18" max="18" width="9.140625" style="48" customWidth="1"/>
    <col min="19" max="16384" width="9.140625" style="48"/>
  </cols>
  <sheetData>
    <row r="1" spans="1:13" s="69" customFormat="1" ht="26.25" customHeight="1" thickBot="1" x14ac:dyDescent="0.3">
      <c r="A1" s="1255" t="s">
        <v>1812</v>
      </c>
      <c r="B1" s="1255"/>
      <c r="C1" s="1255"/>
      <c r="D1" s="1255"/>
      <c r="E1" s="1255"/>
      <c r="F1" s="1255"/>
      <c r="G1" s="1255"/>
      <c r="H1" s="1255"/>
      <c r="I1" s="1255"/>
      <c r="J1" s="1255"/>
      <c r="K1" s="1255"/>
      <c r="L1" s="1255"/>
    </row>
    <row r="2" spans="1:13" s="160" customFormat="1" ht="35.1" customHeight="1" x14ac:dyDescent="0.25">
      <c r="A2" s="1310" t="s">
        <v>1659</v>
      </c>
      <c r="B2" s="1310"/>
      <c r="C2" s="1310"/>
      <c r="D2" s="1310"/>
      <c r="E2" s="1310"/>
      <c r="F2" s="1310"/>
      <c r="G2" s="1310"/>
      <c r="H2" s="1310"/>
      <c r="I2" s="1310"/>
      <c r="J2" s="1310"/>
      <c r="K2" s="1310"/>
      <c r="L2" s="1310"/>
    </row>
    <row r="3" spans="1:13" s="160" customFormat="1" ht="35.1" customHeight="1" x14ac:dyDescent="0.25">
      <c r="A3" s="161">
        <v>1</v>
      </c>
      <c r="B3" s="1256" t="s">
        <v>1660</v>
      </c>
      <c r="C3" s="1256"/>
      <c r="D3" s="1256"/>
      <c r="E3" s="1256"/>
      <c r="F3" s="1256"/>
      <c r="G3" s="1256"/>
      <c r="H3" s="1256"/>
      <c r="I3" s="1256"/>
      <c r="J3" s="1256"/>
      <c r="K3" s="1256"/>
      <c r="L3" s="1256"/>
    </row>
    <row r="4" spans="1:13" s="160" customFormat="1" ht="80.099999999999994" customHeight="1" x14ac:dyDescent="0.25">
      <c r="A4" s="161">
        <v>2</v>
      </c>
      <c r="B4" s="1256" t="s">
        <v>1682</v>
      </c>
      <c r="C4" s="1256"/>
      <c r="D4" s="1256"/>
      <c r="E4" s="1256"/>
      <c r="F4" s="1256"/>
      <c r="G4" s="1256"/>
      <c r="H4" s="1256"/>
      <c r="I4" s="1256"/>
      <c r="J4" s="1256"/>
      <c r="K4" s="1256"/>
      <c r="L4" s="1256"/>
    </row>
    <row r="5" spans="1:13" s="160" customFormat="1" ht="95.1" customHeight="1" x14ac:dyDescent="0.25">
      <c r="A5" s="161">
        <v>3</v>
      </c>
      <c r="B5" s="1256" t="s">
        <v>1671</v>
      </c>
      <c r="C5" s="1256"/>
      <c r="D5" s="1256"/>
      <c r="E5" s="1256"/>
      <c r="F5" s="1256"/>
      <c r="G5" s="1256"/>
      <c r="H5" s="1256"/>
      <c r="I5" s="1256"/>
      <c r="J5" s="1256"/>
      <c r="K5" s="1256"/>
      <c r="L5" s="1256"/>
    </row>
    <row r="6" spans="1:13" s="160" customFormat="1" ht="35.1" customHeight="1" x14ac:dyDescent="0.25">
      <c r="A6" s="1505" t="s">
        <v>1662</v>
      </c>
      <c r="B6" s="1505"/>
      <c r="C6" s="1505"/>
      <c r="D6" s="1505"/>
      <c r="E6" s="1505"/>
      <c r="F6" s="1505"/>
      <c r="G6" s="1505"/>
      <c r="H6" s="1505"/>
      <c r="I6" s="1505"/>
      <c r="J6" s="1505"/>
      <c r="K6" s="1505"/>
      <c r="L6" s="1505"/>
    </row>
    <row r="7" spans="1:13" s="160" customFormat="1" ht="24.95" customHeight="1" x14ac:dyDescent="0.25">
      <c r="A7" s="1502" t="s">
        <v>1663</v>
      </c>
      <c r="B7" s="1502"/>
      <c r="C7" s="1502"/>
      <c r="D7" s="1502"/>
      <c r="E7" s="1502"/>
      <c r="F7" s="1502"/>
      <c r="G7" s="1502"/>
      <c r="H7" s="1502"/>
      <c r="I7" s="1502"/>
      <c r="J7" s="1502"/>
      <c r="K7" s="1502"/>
      <c r="L7" s="1502"/>
    </row>
    <row r="8" spans="1:13" s="162" customFormat="1" ht="35.1" customHeight="1" x14ac:dyDescent="0.25">
      <c r="A8" s="1503" t="s">
        <v>2349</v>
      </c>
      <c r="B8" s="1503"/>
      <c r="C8" s="1503"/>
      <c r="D8" s="1503"/>
      <c r="E8" s="1503"/>
      <c r="F8" s="1503"/>
      <c r="G8" s="1503"/>
      <c r="H8" s="1503"/>
      <c r="I8" s="1503"/>
      <c r="J8" s="1503"/>
      <c r="K8" s="1503"/>
      <c r="L8" s="1503"/>
    </row>
    <row r="9" spans="1:13" s="68" customFormat="1" ht="24.95" customHeight="1" x14ac:dyDescent="0.25">
      <c r="A9" s="1502" t="s">
        <v>2350</v>
      </c>
      <c r="B9" s="1502"/>
      <c r="C9" s="1502"/>
      <c r="D9" s="1502"/>
      <c r="E9" s="1502"/>
      <c r="F9" s="1502"/>
      <c r="G9" s="1502"/>
      <c r="H9" s="1502"/>
      <c r="I9" s="1502"/>
      <c r="J9" s="1502"/>
      <c r="K9" s="1502"/>
      <c r="L9" s="1502"/>
    </row>
    <row r="10" spans="1:13" s="68" customFormat="1" ht="18" customHeight="1" x14ac:dyDescent="0.25">
      <c r="A10" s="822" t="s">
        <v>2351</v>
      </c>
      <c r="B10" s="1504" t="s">
        <v>2352</v>
      </c>
      <c r="C10" s="1504"/>
      <c r="D10" s="1504"/>
      <c r="E10" s="1504"/>
      <c r="F10" s="1504"/>
      <c r="G10" s="1504"/>
      <c r="H10" s="1504"/>
      <c r="I10" s="1504"/>
      <c r="J10" s="1504"/>
      <c r="K10" s="1504"/>
      <c r="L10" s="1504"/>
    </row>
    <row r="11" spans="1:13" s="68" customFormat="1" ht="18" customHeight="1" x14ac:dyDescent="0.25">
      <c r="A11" s="822" t="s">
        <v>2353</v>
      </c>
      <c r="B11" s="1504" t="s">
        <v>2354</v>
      </c>
      <c r="C11" s="1504"/>
      <c r="D11" s="1504"/>
      <c r="E11" s="1504"/>
      <c r="F11" s="1504"/>
      <c r="G11" s="1504"/>
      <c r="H11" s="1504"/>
      <c r="I11" s="1504"/>
      <c r="J11" s="1504"/>
      <c r="K11" s="1504"/>
      <c r="L11" s="1504"/>
    </row>
    <row r="12" spans="1:13" s="68" customFormat="1" ht="18" customHeight="1" x14ac:dyDescent="0.25">
      <c r="A12" s="822" t="s">
        <v>2355</v>
      </c>
      <c r="B12" s="1504" t="s">
        <v>2356</v>
      </c>
      <c r="C12" s="1504"/>
      <c r="D12" s="1504"/>
      <c r="E12" s="1504"/>
      <c r="F12" s="1504"/>
      <c r="G12" s="1504"/>
      <c r="H12" s="1504"/>
      <c r="I12" s="1504"/>
      <c r="J12" s="1504"/>
      <c r="K12" s="1504"/>
      <c r="L12" s="1504"/>
    </row>
    <row r="13" spans="1:13" s="68" customFormat="1" ht="18" customHeight="1" x14ac:dyDescent="0.25">
      <c r="A13" s="822" t="s">
        <v>2357</v>
      </c>
      <c r="B13" s="1504" t="s">
        <v>2358</v>
      </c>
      <c r="C13" s="1504"/>
      <c r="D13" s="1504"/>
      <c r="E13" s="1504"/>
      <c r="F13" s="1504"/>
      <c r="G13" s="1504"/>
      <c r="H13" s="1504"/>
      <c r="I13" s="1504"/>
      <c r="J13" s="1504"/>
      <c r="K13" s="1504"/>
      <c r="L13" s="1504"/>
    </row>
    <row r="14" spans="1:13" s="68" customFormat="1" ht="18" customHeight="1" x14ac:dyDescent="0.25">
      <c r="A14" s="822" t="s">
        <v>2359</v>
      </c>
      <c r="B14" s="1504" t="s">
        <v>2360</v>
      </c>
      <c r="C14" s="1504"/>
      <c r="D14" s="1504"/>
      <c r="E14" s="1504"/>
      <c r="F14" s="1504"/>
      <c r="G14" s="1504"/>
      <c r="H14" s="1504"/>
      <c r="I14" s="1504"/>
      <c r="J14" s="1504"/>
      <c r="K14" s="1504"/>
      <c r="L14" s="1504"/>
    </row>
    <row r="15" spans="1:13" s="68" customFormat="1" ht="18" customHeight="1" x14ac:dyDescent="0.25">
      <c r="A15" s="822" t="s">
        <v>2361</v>
      </c>
      <c r="B15" s="1504" t="s">
        <v>2362</v>
      </c>
      <c r="C15" s="1504"/>
      <c r="D15" s="1504"/>
      <c r="E15" s="1504"/>
      <c r="F15" s="1504"/>
      <c r="G15" s="1504"/>
      <c r="H15" s="1504"/>
      <c r="I15" s="1504"/>
      <c r="J15" s="1504"/>
      <c r="K15" s="1504"/>
      <c r="L15" s="1504"/>
    </row>
    <row r="16" spans="1:13" s="68" customFormat="1" ht="18" customHeight="1" x14ac:dyDescent="0.25">
      <c r="A16" s="822" t="s">
        <v>2363</v>
      </c>
      <c r="B16" s="1504" t="s">
        <v>2364</v>
      </c>
      <c r="C16" s="1504"/>
      <c r="D16" s="1504"/>
      <c r="E16" s="1504"/>
      <c r="F16" s="1504"/>
      <c r="G16" s="1504"/>
      <c r="H16" s="1504"/>
      <c r="I16" s="1504"/>
      <c r="J16" s="1504"/>
      <c r="K16" s="1504"/>
      <c r="L16" s="1504"/>
      <c r="M16" s="834"/>
    </row>
    <row r="17" spans="1:24" s="160" customFormat="1" ht="18" customHeight="1" x14ac:dyDescent="0.25">
      <c r="A17" s="822" t="s">
        <v>2365</v>
      </c>
      <c r="B17" s="1504" t="s">
        <v>2366</v>
      </c>
      <c r="C17" s="1504"/>
      <c r="D17" s="1504"/>
      <c r="E17" s="1504"/>
      <c r="F17" s="1504"/>
      <c r="G17" s="1504"/>
      <c r="H17" s="1504"/>
      <c r="I17" s="1504"/>
      <c r="J17" s="1504"/>
      <c r="K17" s="1504"/>
      <c r="L17" s="1504"/>
    </row>
    <row r="18" spans="1:24" s="68" customFormat="1" ht="35.1" customHeight="1" thickBot="1" x14ac:dyDescent="0.3">
      <c r="A18" s="1509" t="s">
        <v>1687</v>
      </c>
      <c r="B18" s="1509"/>
      <c r="C18" s="1509"/>
      <c r="D18" s="1509"/>
      <c r="E18" s="1509"/>
      <c r="F18" s="1509"/>
      <c r="G18" s="1509"/>
      <c r="H18" s="1509"/>
      <c r="I18" s="1509"/>
      <c r="J18" s="1509"/>
      <c r="K18" s="1509"/>
      <c r="L18" s="1509"/>
    </row>
    <row r="19" spans="1:24" s="77" customFormat="1" ht="19.5" thickBot="1" x14ac:dyDescent="0.3">
      <c r="A19" s="1211" t="s">
        <v>1688</v>
      </c>
      <c r="B19" s="1211"/>
      <c r="C19" s="1211"/>
      <c r="D19" s="1211"/>
      <c r="E19" s="1211"/>
      <c r="F19" s="1211"/>
      <c r="G19" s="1211"/>
      <c r="H19" s="1211"/>
      <c r="I19" s="1211"/>
      <c r="J19" s="1211"/>
      <c r="K19" s="1211"/>
      <c r="L19" s="1211"/>
    </row>
    <row r="20" spans="1:24" ht="60" customHeight="1" x14ac:dyDescent="0.25">
      <c r="A20" s="1151"/>
      <c r="B20" s="1151"/>
      <c r="C20" s="1151"/>
      <c r="D20" s="1151"/>
      <c r="E20" s="1151"/>
      <c r="F20" s="1151"/>
    </row>
    <row r="21" spans="1:24" ht="24.95" customHeight="1" thickBot="1" x14ac:dyDescent="0.3">
      <c r="A21" s="1003" t="s">
        <v>1813</v>
      </c>
      <c r="B21" s="1003"/>
      <c r="C21" s="1003"/>
      <c r="D21" s="1003"/>
      <c r="E21" s="1003"/>
      <c r="F21" s="843" t="str">
        <f>"Ver."&amp;" "&amp;TEXT(Introduction!$M$3,"MM/YYYY")</f>
        <v>Ver. 01/2025</v>
      </c>
    </row>
    <row r="22" spans="1:24" ht="30" customHeight="1" thickBot="1" x14ac:dyDescent="0.3">
      <c r="A22" s="984" t="s">
        <v>1650</v>
      </c>
      <c r="B22" s="985"/>
      <c r="C22" s="985"/>
      <c r="D22" s="985"/>
      <c r="E22" s="985"/>
      <c r="F22" s="986"/>
    </row>
    <row r="23" spans="1:24" ht="95.1" customHeight="1" thickBot="1" x14ac:dyDescent="0.3">
      <c r="A23" s="1435" t="s">
        <v>1649</v>
      </c>
      <c r="B23" s="1436"/>
      <c r="C23" s="1436"/>
      <c r="D23" s="1436"/>
      <c r="E23" s="1436"/>
      <c r="F23" s="1437"/>
    </row>
    <row r="24" spans="1:24" ht="50.1" customHeight="1" thickBot="1" x14ac:dyDescent="0.3">
      <c r="A24" s="1506" t="s">
        <v>1636</v>
      </c>
      <c r="B24" s="1507"/>
      <c r="C24" s="1507"/>
      <c r="D24" s="800" t="s">
        <v>1639</v>
      </c>
      <c r="E24" s="1508" t="s">
        <v>1638</v>
      </c>
      <c r="F24" s="1215"/>
      <c r="M24" s="125"/>
      <c r="N24" s="125"/>
      <c r="O24" s="125"/>
      <c r="Q24" s="125"/>
      <c r="R24" s="125"/>
    </row>
    <row r="25" spans="1:24" ht="35.1" customHeight="1" x14ac:dyDescent="0.25">
      <c r="A25" s="1517" t="s">
        <v>1637</v>
      </c>
      <c r="B25" s="1518"/>
      <c r="C25" s="1519"/>
      <c r="D25" s="442" t="s">
        <v>1759</v>
      </c>
      <c r="E25" s="1520" t="str">
        <f>IF(AND(N25=TRUE,Q25=TRUE),"Describe compliance with each applicable NSPS in Part B, below.",IF(AND(O25=TRUE,Q25=TRUE),"If none apply, in Part C, list any that 'appear' to apply, but do not actually apply.",""))</f>
        <v/>
      </c>
      <c r="F25" s="1521"/>
      <c r="M25" s="125"/>
      <c r="N25" s="159" t="b">
        <v>0</v>
      </c>
      <c r="O25" s="159" t="b">
        <v>0</v>
      </c>
      <c r="Q25" s="125" t="b">
        <f>IF(OR(AND(N25=TRUE,O25=FALSE),AND(N25=FALSE,O25=TRUE)),TRUE,FALSE)</f>
        <v>0</v>
      </c>
      <c r="R25" s="125"/>
    </row>
    <row r="26" spans="1:24" ht="35.1" customHeight="1" x14ac:dyDescent="0.25">
      <c r="A26" s="1510" t="s">
        <v>1640</v>
      </c>
      <c r="B26" s="1511"/>
      <c r="C26" s="1512"/>
      <c r="D26" s="432" t="s">
        <v>1759</v>
      </c>
      <c r="E26" s="1513"/>
      <c r="F26" s="1514"/>
      <c r="G26" s="124"/>
      <c r="M26" s="80"/>
      <c r="N26" s="159" t="b">
        <v>0</v>
      </c>
      <c r="O26" s="159" t="b">
        <v>0</v>
      </c>
      <c r="Q26" s="125" t="b">
        <f t="shared" ref="Q26:Q39" si="0">IF(OR(AND(N26=TRUE,O26=FALSE),AND(N26=FALSE,O26=TRUE)),TRUE,FALSE)</f>
        <v>0</v>
      </c>
      <c r="R26" s="80"/>
      <c r="S26" s="80"/>
      <c r="T26" s="80"/>
      <c r="U26" s="80"/>
      <c r="V26" s="80"/>
      <c r="W26" s="80"/>
      <c r="X26" s="80"/>
    </row>
    <row r="27" spans="1:24" ht="35.1" customHeight="1" x14ac:dyDescent="0.25">
      <c r="A27" s="1510" t="s">
        <v>2389</v>
      </c>
      <c r="B27" s="1511"/>
      <c r="C27" s="1512"/>
      <c r="D27" s="432" t="s">
        <v>1759</v>
      </c>
      <c r="E27" s="1513"/>
      <c r="F27" s="1514"/>
      <c r="G27" s="124"/>
      <c r="M27" s="80"/>
      <c r="N27" s="159" t="b">
        <v>0</v>
      </c>
      <c r="O27" s="159" t="b">
        <v>0</v>
      </c>
      <c r="Q27" s="125" t="b">
        <f t="shared" si="0"/>
        <v>0</v>
      </c>
      <c r="R27" s="80"/>
      <c r="S27" s="80"/>
      <c r="T27" s="80"/>
      <c r="U27" s="80"/>
      <c r="V27" s="80"/>
      <c r="W27" s="80"/>
      <c r="X27" s="80"/>
    </row>
    <row r="28" spans="1:24" ht="35.1" customHeight="1" x14ac:dyDescent="0.25">
      <c r="A28" s="1510" t="s">
        <v>2390</v>
      </c>
      <c r="B28" s="1511"/>
      <c r="C28" s="1512"/>
      <c r="D28" s="432" t="s">
        <v>1759</v>
      </c>
      <c r="E28" s="1513"/>
      <c r="F28" s="1514"/>
      <c r="G28" s="124"/>
      <c r="M28" s="80"/>
      <c r="N28" s="159" t="b">
        <v>1</v>
      </c>
      <c r="O28" s="159" t="b">
        <v>0</v>
      </c>
      <c r="Q28" s="125" t="b">
        <f t="shared" si="0"/>
        <v>1</v>
      </c>
      <c r="R28" s="80"/>
      <c r="S28" s="80"/>
      <c r="T28" s="80"/>
      <c r="U28" s="80"/>
      <c r="V28" s="80"/>
      <c r="W28" s="80"/>
      <c r="X28" s="80"/>
    </row>
    <row r="29" spans="1:24" ht="35.1" customHeight="1" x14ac:dyDescent="0.25">
      <c r="A29" s="1510" t="s">
        <v>1641</v>
      </c>
      <c r="B29" s="1511"/>
      <c r="C29" s="1512"/>
      <c r="D29" s="432" t="s">
        <v>1759</v>
      </c>
      <c r="E29" s="1513"/>
      <c r="F29" s="1514"/>
      <c r="G29" s="124"/>
      <c r="M29" s="80"/>
      <c r="N29" s="159" t="b">
        <v>1</v>
      </c>
      <c r="O29" s="159" t="b">
        <v>0</v>
      </c>
      <c r="Q29" s="125" t="b">
        <f t="shared" si="0"/>
        <v>1</v>
      </c>
      <c r="R29" s="80"/>
      <c r="S29" s="80"/>
      <c r="T29" s="80"/>
      <c r="U29" s="80"/>
      <c r="V29" s="80"/>
      <c r="W29" s="80"/>
      <c r="X29" s="80"/>
    </row>
    <row r="30" spans="1:24" ht="35.1" customHeight="1" x14ac:dyDescent="0.25">
      <c r="A30" s="1510" t="s">
        <v>2391</v>
      </c>
      <c r="B30" s="1511"/>
      <c r="C30" s="1512"/>
      <c r="D30" s="432" t="s">
        <v>1759</v>
      </c>
      <c r="E30" s="1515" t="str">
        <f>IF(AND(N30=TRUE,Q30=TRUE),"Attach CAM Plan to Permit Application.",IF(AND(O30=TRUE,Q30=TRUE),"Does not apply to Class II sources, but Class I sources must give explanation in Part C.",""))</f>
        <v/>
      </c>
      <c r="F30" s="1516"/>
      <c r="G30" s="124"/>
      <c r="M30" s="80"/>
      <c r="N30" s="159" t="b">
        <v>0</v>
      </c>
      <c r="O30" s="159" t="b">
        <v>0</v>
      </c>
      <c r="Q30" s="125" t="b">
        <f t="shared" si="0"/>
        <v>0</v>
      </c>
      <c r="R30" s="80"/>
      <c r="S30" s="80"/>
      <c r="T30" s="80"/>
      <c r="U30" s="80"/>
      <c r="V30" s="80"/>
      <c r="W30" s="80"/>
      <c r="X30" s="80"/>
    </row>
    <row r="31" spans="1:24" ht="35.1" customHeight="1" x14ac:dyDescent="0.25">
      <c r="A31" s="1510" t="s">
        <v>2392</v>
      </c>
      <c r="B31" s="1511"/>
      <c r="C31" s="1512"/>
      <c r="D31" s="432" t="s">
        <v>1759</v>
      </c>
      <c r="E31" s="1513"/>
      <c r="F31" s="1514"/>
      <c r="G31" s="124"/>
      <c r="M31" s="80"/>
      <c r="N31" s="159" t="b">
        <v>0</v>
      </c>
      <c r="O31" s="159" t="b">
        <v>0</v>
      </c>
      <c r="Q31" s="125" t="b">
        <f t="shared" si="0"/>
        <v>0</v>
      </c>
      <c r="R31" s="80"/>
      <c r="S31" s="80"/>
      <c r="T31" s="80"/>
      <c r="U31" s="80"/>
      <c r="V31" s="80"/>
      <c r="W31" s="80"/>
      <c r="X31" s="80"/>
    </row>
    <row r="32" spans="1:24" ht="35.1" customHeight="1" x14ac:dyDescent="0.25">
      <c r="A32" s="1510" t="s">
        <v>2393</v>
      </c>
      <c r="B32" s="1511"/>
      <c r="C32" s="1512"/>
      <c r="D32" s="432" t="s">
        <v>1759</v>
      </c>
      <c r="E32" s="1513"/>
      <c r="F32" s="1514"/>
      <c r="G32" s="124"/>
      <c r="M32" s="80"/>
      <c r="N32" s="159" t="b">
        <v>0</v>
      </c>
      <c r="O32" s="159" t="b">
        <v>0</v>
      </c>
      <c r="Q32" s="125" t="b">
        <f t="shared" si="0"/>
        <v>0</v>
      </c>
      <c r="R32" s="80"/>
      <c r="S32" s="80"/>
      <c r="T32" s="80"/>
      <c r="U32" s="80"/>
      <c r="V32" s="80"/>
      <c r="W32" s="80"/>
      <c r="X32" s="80"/>
    </row>
    <row r="33" spans="1:24" ht="35.1" customHeight="1" x14ac:dyDescent="0.25">
      <c r="A33" s="1510" t="s">
        <v>1642</v>
      </c>
      <c r="B33" s="1511"/>
      <c r="C33" s="1512"/>
      <c r="D33" s="432" t="s">
        <v>1759</v>
      </c>
      <c r="E33" s="1515" t="str">
        <f>IF(AND(N33=TRUE,Q33=TRUE),"Describe compliance with each applicable HAP standard in Part B, below.",IF(AND(O33=TRUE,Q33=TRUE),"If none apply, in Part C, list any that 'appear' to apply, but do not actually apply.",""))</f>
        <v/>
      </c>
      <c r="F33" s="1516"/>
      <c r="G33" s="124"/>
      <c r="M33" s="80"/>
      <c r="N33" s="159" t="b">
        <v>0</v>
      </c>
      <c r="O33" s="159" t="b">
        <v>0</v>
      </c>
      <c r="Q33" s="125" t="b">
        <f t="shared" si="0"/>
        <v>0</v>
      </c>
      <c r="R33" s="80"/>
      <c r="S33" s="80"/>
      <c r="T33" s="80"/>
      <c r="U33" s="80"/>
      <c r="V33" s="80"/>
      <c r="W33" s="80"/>
      <c r="X33" s="80"/>
    </row>
    <row r="34" spans="1:24" ht="35.1" customHeight="1" x14ac:dyDescent="0.25">
      <c r="A34" s="1510" t="s">
        <v>1643</v>
      </c>
      <c r="B34" s="1511"/>
      <c r="C34" s="1512"/>
      <c r="D34" s="432" t="s">
        <v>1759</v>
      </c>
      <c r="E34" s="1513"/>
      <c r="F34" s="1514"/>
      <c r="G34" s="124"/>
      <c r="M34" s="80"/>
      <c r="N34" s="159" t="b">
        <v>0</v>
      </c>
      <c r="O34" s="159" t="b">
        <v>0</v>
      </c>
      <c r="Q34" s="125" t="b">
        <f t="shared" si="0"/>
        <v>0</v>
      </c>
      <c r="R34" s="80"/>
      <c r="S34" s="80"/>
      <c r="T34" s="80"/>
      <c r="U34" s="80"/>
      <c r="V34" s="80"/>
      <c r="W34" s="80"/>
      <c r="X34" s="80"/>
    </row>
    <row r="35" spans="1:24" ht="35.1" customHeight="1" x14ac:dyDescent="0.25">
      <c r="A35" s="1510" t="s">
        <v>1644</v>
      </c>
      <c r="B35" s="1511"/>
      <c r="C35" s="1512"/>
      <c r="D35" s="432" t="s">
        <v>1759</v>
      </c>
      <c r="E35" s="1513"/>
      <c r="F35" s="1514"/>
      <c r="G35" s="124"/>
      <c r="M35" s="80"/>
      <c r="N35" s="159" t="b">
        <v>0</v>
      </c>
      <c r="O35" s="159" t="b">
        <v>0</v>
      </c>
      <c r="Q35" s="125" t="b">
        <f t="shared" si="0"/>
        <v>0</v>
      </c>
      <c r="R35" s="80"/>
      <c r="S35" s="80"/>
      <c r="T35" s="80"/>
      <c r="U35" s="80"/>
      <c r="V35" s="80"/>
      <c r="W35" s="80"/>
      <c r="X35" s="80"/>
    </row>
    <row r="36" spans="1:24" ht="35.1" customHeight="1" x14ac:dyDescent="0.25">
      <c r="A36" s="1510" t="s">
        <v>1645</v>
      </c>
      <c r="B36" s="1511"/>
      <c r="C36" s="1512"/>
      <c r="D36" s="432" t="s">
        <v>1759</v>
      </c>
      <c r="E36" s="1515" t="str">
        <f>IF(AND(N36=TRUE,Q36=TRUE),"Describe compliance with each applicable Acid Rain standard in Part B, below.",IF(AND(O36=TRUE,Q36=TRUE),"If none apply, in Part C, list any that 'appear' to apply, but do not actually apply.",""))</f>
        <v/>
      </c>
      <c r="F36" s="1516"/>
      <c r="G36" s="124"/>
      <c r="M36" s="80"/>
      <c r="N36" s="159" t="b">
        <v>0</v>
      </c>
      <c r="O36" s="159" t="b">
        <v>0</v>
      </c>
      <c r="Q36" s="125" t="b">
        <f t="shared" si="0"/>
        <v>0</v>
      </c>
      <c r="R36" s="80"/>
      <c r="S36" s="80"/>
      <c r="T36" s="80"/>
      <c r="U36" s="80"/>
      <c r="V36" s="80"/>
      <c r="W36" s="80"/>
      <c r="X36" s="80"/>
    </row>
    <row r="37" spans="1:24" ht="35.1" customHeight="1" x14ac:dyDescent="0.25">
      <c r="A37" s="1510" t="s">
        <v>1646</v>
      </c>
      <c r="B37" s="1511"/>
      <c r="C37" s="1512"/>
      <c r="D37" s="432" t="s">
        <v>1759</v>
      </c>
      <c r="E37" s="1515" t="str">
        <f>IF(AND(N37=TRUE,Q37=TRUE),"Describe compliance with each applicable standard in Part B, below.",IF(AND(O37=TRUE,Q37=TRUE),"If none apply, in Part C, list any that 'appear' to apply, but do not actually apply.",""))</f>
        <v/>
      </c>
      <c r="F37" s="1516"/>
      <c r="G37" s="124"/>
      <c r="M37" s="80"/>
      <c r="N37" s="159" t="b">
        <v>0</v>
      </c>
      <c r="O37" s="159" t="b">
        <v>0</v>
      </c>
      <c r="Q37" s="125" t="b">
        <f t="shared" si="0"/>
        <v>0</v>
      </c>
      <c r="R37" s="80"/>
      <c r="S37" s="80"/>
      <c r="T37" s="80"/>
      <c r="U37" s="80"/>
      <c r="V37" s="80"/>
      <c r="W37" s="80"/>
      <c r="X37" s="80"/>
    </row>
    <row r="38" spans="1:24" ht="35.1" customHeight="1" x14ac:dyDescent="0.25">
      <c r="A38" s="1510" t="s">
        <v>1647</v>
      </c>
      <c r="B38" s="1511"/>
      <c r="C38" s="1512"/>
      <c r="D38" s="432" t="s">
        <v>1759</v>
      </c>
      <c r="E38" s="1515" t="str">
        <f>IF(AND(N38=TRUE,Q38=TRUE),"Describe compliance with each applicable MACT standard in Part B, below.",IF(AND(O38=TRUE,Q38=TRUE),"If none apply, in Part C, list any that 'appear' to apply, but do not actually apply.",""))</f>
        <v/>
      </c>
      <c r="F38" s="1516"/>
      <c r="G38" s="124"/>
      <c r="M38" s="80"/>
      <c r="N38" s="159" t="b">
        <v>0</v>
      </c>
      <c r="O38" s="159" t="b">
        <v>0</v>
      </c>
      <c r="Q38" s="125" t="b">
        <f t="shared" si="0"/>
        <v>0</v>
      </c>
      <c r="R38" s="80"/>
      <c r="S38" s="80"/>
      <c r="T38" s="80"/>
      <c r="U38" s="80"/>
      <c r="V38" s="80"/>
      <c r="W38" s="80"/>
      <c r="X38" s="80"/>
    </row>
    <row r="39" spans="1:24" ht="35.1" customHeight="1" thickBot="1" x14ac:dyDescent="0.3">
      <c r="A39" s="1510" t="s">
        <v>1648</v>
      </c>
      <c r="B39" s="1511"/>
      <c r="C39" s="1512"/>
      <c r="D39" s="432" t="s">
        <v>1759</v>
      </c>
      <c r="E39" s="1513"/>
      <c r="F39" s="1514"/>
      <c r="G39" s="124"/>
      <c r="M39" s="80"/>
      <c r="N39" s="159" t="b">
        <v>0</v>
      </c>
      <c r="O39" s="159" t="b">
        <v>0</v>
      </c>
      <c r="Q39" s="125" t="b">
        <f t="shared" si="0"/>
        <v>0</v>
      </c>
      <c r="R39" s="80"/>
      <c r="S39" s="80"/>
      <c r="T39" s="80"/>
      <c r="U39" s="80"/>
      <c r="V39" s="80"/>
      <c r="W39" s="80"/>
      <c r="X39" s="80"/>
    </row>
    <row r="40" spans="1:24" ht="30" customHeight="1" thickBot="1" x14ac:dyDescent="0.3">
      <c r="A40" s="984" t="s">
        <v>1658</v>
      </c>
      <c r="B40" s="985"/>
      <c r="C40" s="985"/>
      <c r="D40" s="985"/>
      <c r="E40" s="985"/>
      <c r="F40" s="986"/>
    </row>
    <row r="41" spans="1:24" ht="80.099999999999994" customHeight="1" thickBot="1" x14ac:dyDescent="0.3">
      <c r="A41" s="1522" t="s">
        <v>1683</v>
      </c>
      <c r="B41" s="1523"/>
      <c r="C41" s="1523"/>
      <c r="D41" s="1523"/>
      <c r="E41" s="1523"/>
      <c r="F41" s="1524"/>
      <c r="G41" s="1525" t="s">
        <v>1657</v>
      </c>
      <c r="H41" s="1526"/>
      <c r="I41" s="1526"/>
      <c r="J41" s="1526"/>
      <c r="K41" s="1526"/>
    </row>
    <row r="42" spans="1:24" ht="20.100000000000001" customHeight="1" x14ac:dyDescent="0.25">
      <c r="A42" s="1527" t="s">
        <v>1633</v>
      </c>
      <c r="B42" s="1528"/>
      <c r="C42" s="1528" t="s">
        <v>1632</v>
      </c>
      <c r="D42" s="1528"/>
      <c r="E42" s="1529" t="s">
        <v>1653</v>
      </c>
      <c r="F42" s="1530"/>
      <c r="M42" s="125"/>
      <c r="N42" s="125"/>
      <c r="O42" s="125"/>
      <c r="Q42" s="125"/>
      <c r="R42" s="125"/>
    </row>
    <row r="43" spans="1:24" ht="20.100000000000001" customHeight="1" thickBot="1" x14ac:dyDescent="0.3">
      <c r="A43" s="1533" t="s">
        <v>1651</v>
      </c>
      <c r="B43" s="1534"/>
      <c r="C43" s="1534" t="s">
        <v>1652</v>
      </c>
      <c r="D43" s="1534"/>
      <c r="E43" s="1531"/>
      <c r="F43" s="1532"/>
      <c r="M43" s="125"/>
      <c r="N43" s="125"/>
      <c r="O43" s="125"/>
      <c r="Q43" s="125"/>
      <c r="R43" s="125"/>
    </row>
    <row r="44" spans="1:24" ht="35.1" customHeight="1" x14ac:dyDescent="0.25">
      <c r="A44" s="1539"/>
      <c r="B44" s="1540"/>
      <c r="C44" s="1541"/>
      <c r="D44" s="1540"/>
      <c r="E44" s="1541"/>
      <c r="F44" s="1542"/>
      <c r="G44" s="124"/>
      <c r="M44" s="80"/>
      <c r="N44" s="80"/>
      <c r="O44" s="80"/>
      <c r="Q44" s="125"/>
      <c r="R44" s="80"/>
      <c r="S44" s="80"/>
      <c r="T44" s="80"/>
      <c r="U44" s="80"/>
      <c r="V44" s="80"/>
      <c r="W44" s="80"/>
      <c r="X44" s="80"/>
    </row>
    <row r="45" spans="1:24" ht="35.1" customHeight="1" x14ac:dyDescent="0.25">
      <c r="A45" s="1535"/>
      <c r="B45" s="1536"/>
      <c r="C45" s="1537"/>
      <c r="D45" s="1536"/>
      <c r="E45" s="1537"/>
      <c r="F45" s="1538"/>
      <c r="G45" s="124"/>
      <c r="M45" s="80"/>
      <c r="N45" s="80"/>
      <c r="O45" s="80"/>
      <c r="Q45" s="125"/>
      <c r="R45" s="80"/>
      <c r="S45" s="80"/>
      <c r="T45" s="80"/>
      <c r="U45" s="80"/>
      <c r="V45" s="80"/>
      <c r="W45" s="80"/>
      <c r="X45" s="80"/>
    </row>
    <row r="46" spans="1:24" ht="35.1" customHeight="1" x14ac:dyDescent="0.25">
      <c r="A46" s="1535"/>
      <c r="B46" s="1536"/>
      <c r="C46" s="1537"/>
      <c r="D46" s="1536"/>
      <c r="E46" s="1537"/>
      <c r="F46" s="1538"/>
      <c r="G46" s="124"/>
      <c r="M46" s="80"/>
      <c r="N46" s="80"/>
      <c r="O46" s="80"/>
      <c r="Q46" s="125"/>
      <c r="R46" s="80"/>
      <c r="S46" s="80"/>
      <c r="T46" s="80"/>
      <c r="U46" s="80"/>
      <c r="V46" s="80"/>
      <c r="W46" s="80"/>
      <c r="X46" s="80"/>
    </row>
    <row r="47" spans="1:24" ht="35.1" customHeight="1" x14ac:dyDescent="0.25">
      <c r="A47" s="1535"/>
      <c r="B47" s="1536"/>
      <c r="C47" s="1537"/>
      <c r="D47" s="1536"/>
      <c r="E47" s="1537"/>
      <c r="F47" s="1538"/>
      <c r="G47" s="124"/>
      <c r="M47" s="80"/>
      <c r="N47" s="80"/>
      <c r="O47" s="80"/>
      <c r="Q47" s="125"/>
      <c r="R47" s="80"/>
      <c r="S47" s="80"/>
      <c r="T47" s="80"/>
      <c r="U47" s="80"/>
      <c r="V47" s="80"/>
      <c r="W47" s="80"/>
      <c r="X47" s="80"/>
    </row>
    <row r="48" spans="1:24" ht="35.1" customHeight="1" x14ac:dyDescent="0.25">
      <c r="A48" s="1535"/>
      <c r="B48" s="1536"/>
      <c r="C48" s="1537"/>
      <c r="D48" s="1536"/>
      <c r="E48" s="1537"/>
      <c r="F48" s="1538"/>
      <c r="G48" s="124"/>
      <c r="M48" s="80"/>
      <c r="N48" s="80"/>
      <c r="O48" s="80"/>
      <c r="Q48" s="125"/>
      <c r="R48" s="80"/>
      <c r="S48" s="80"/>
      <c r="T48" s="80"/>
      <c r="U48" s="80"/>
      <c r="V48" s="80"/>
      <c r="W48" s="80"/>
      <c r="X48" s="80"/>
    </row>
    <row r="49" spans="1:24" ht="35.1" customHeight="1" x14ac:dyDescent="0.25">
      <c r="A49" s="1535"/>
      <c r="B49" s="1536"/>
      <c r="C49" s="1537"/>
      <c r="D49" s="1536"/>
      <c r="E49" s="1537"/>
      <c r="F49" s="1538"/>
      <c r="G49" s="124"/>
      <c r="M49" s="80"/>
      <c r="N49" s="80"/>
      <c r="O49" s="80"/>
      <c r="Q49" s="125"/>
      <c r="R49" s="80"/>
      <c r="S49" s="80"/>
      <c r="T49" s="80"/>
      <c r="U49" s="80"/>
      <c r="V49" s="80"/>
      <c r="W49" s="80"/>
      <c r="X49" s="80"/>
    </row>
    <row r="50" spans="1:24" ht="35.1" customHeight="1" x14ac:dyDescent="0.25">
      <c r="A50" s="1535"/>
      <c r="B50" s="1536"/>
      <c r="C50" s="1537"/>
      <c r="D50" s="1536"/>
      <c r="E50" s="1537"/>
      <c r="F50" s="1538"/>
      <c r="G50" s="124"/>
      <c r="M50" s="80"/>
      <c r="N50" s="80"/>
      <c r="O50" s="80"/>
      <c r="Q50" s="125"/>
      <c r="R50" s="80"/>
      <c r="S50" s="80"/>
      <c r="T50" s="80"/>
      <c r="U50" s="80"/>
      <c r="V50" s="80"/>
      <c r="W50" s="80"/>
      <c r="X50" s="80"/>
    </row>
    <row r="51" spans="1:24" ht="35.1" customHeight="1" x14ac:dyDescent="0.25">
      <c r="A51" s="1535"/>
      <c r="B51" s="1536"/>
      <c r="C51" s="1537"/>
      <c r="D51" s="1536"/>
      <c r="E51" s="1537"/>
      <c r="F51" s="1538"/>
      <c r="G51" s="124"/>
      <c r="M51" s="80"/>
      <c r="N51" s="80"/>
      <c r="O51" s="80"/>
      <c r="Q51" s="125"/>
      <c r="R51" s="80"/>
      <c r="S51" s="80"/>
      <c r="T51" s="80"/>
      <c r="U51" s="80"/>
      <c r="V51" s="80"/>
      <c r="W51" s="80"/>
      <c r="X51" s="80"/>
    </row>
    <row r="52" spans="1:24" ht="35.1" customHeight="1" x14ac:dyDescent="0.25">
      <c r="A52" s="1535"/>
      <c r="B52" s="1536"/>
      <c r="C52" s="1537"/>
      <c r="D52" s="1536"/>
      <c r="E52" s="1537"/>
      <c r="F52" s="1538"/>
      <c r="G52" s="124"/>
      <c r="M52" s="80"/>
      <c r="N52" s="80"/>
      <c r="O52" s="80"/>
      <c r="Q52" s="125"/>
      <c r="R52" s="80"/>
      <c r="S52" s="80"/>
      <c r="T52" s="80"/>
      <c r="U52" s="80"/>
      <c r="V52" s="80"/>
      <c r="W52" s="80"/>
      <c r="X52" s="80"/>
    </row>
    <row r="53" spans="1:24" ht="35.1" customHeight="1" x14ac:dyDescent="0.25">
      <c r="A53" s="1535"/>
      <c r="B53" s="1536"/>
      <c r="C53" s="1537"/>
      <c r="D53" s="1536"/>
      <c r="E53" s="1537"/>
      <c r="F53" s="1538"/>
      <c r="G53" s="124"/>
      <c r="M53" s="80"/>
      <c r="N53" s="80"/>
      <c r="O53" s="80"/>
      <c r="Q53" s="125"/>
      <c r="R53" s="80"/>
      <c r="S53" s="80"/>
      <c r="T53" s="80"/>
      <c r="U53" s="80"/>
      <c r="V53" s="80"/>
      <c r="W53" s="80"/>
      <c r="X53" s="80"/>
    </row>
    <row r="54" spans="1:24" ht="35.1" customHeight="1" x14ac:dyDescent="0.25">
      <c r="A54" s="1535"/>
      <c r="B54" s="1536"/>
      <c r="C54" s="1537"/>
      <c r="D54" s="1536"/>
      <c r="E54" s="1537"/>
      <c r="F54" s="1538"/>
      <c r="G54" s="124"/>
      <c r="M54" s="80"/>
      <c r="N54" s="80"/>
      <c r="O54" s="80"/>
      <c r="Q54" s="125"/>
      <c r="R54" s="80"/>
      <c r="S54" s="80"/>
      <c r="T54" s="80"/>
      <c r="U54" s="80"/>
      <c r="V54" s="80"/>
      <c r="W54" s="80"/>
      <c r="X54" s="80"/>
    </row>
    <row r="55" spans="1:24" ht="35.1" customHeight="1" x14ac:dyDescent="0.25">
      <c r="A55" s="1535"/>
      <c r="B55" s="1536"/>
      <c r="C55" s="1537"/>
      <c r="D55" s="1536"/>
      <c r="E55" s="1537"/>
      <c r="F55" s="1538"/>
      <c r="G55" s="124"/>
      <c r="M55" s="80"/>
      <c r="N55" s="80"/>
      <c r="O55" s="80"/>
      <c r="Q55" s="125"/>
      <c r="R55" s="80"/>
      <c r="S55" s="80"/>
      <c r="T55" s="80"/>
      <c r="U55" s="80"/>
      <c r="V55" s="80"/>
      <c r="W55" s="80"/>
      <c r="X55" s="80"/>
    </row>
    <row r="56" spans="1:24" ht="35.1" customHeight="1" x14ac:dyDescent="0.25">
      <c r="A56" s="1535"/>
      <c r="B56" s="1536"/>
      <c r="C56" s="1537"/>
      <c r="D56" s="1536"/>
      <c r="E56" s="1537"/>
      <c r="F56" s="1538"/>
      <c r="G56" s="124"/>
      <c r="M56" s="80"/>
      <c r="N56" s="80"/>
      <c r="O56" s="80"/>
      <c r="Q56" s="125"/>
      <c r="R56" s="80"/>
      <c r="S56" s="80"/>
      <c r="T56" s="80"/>
      <c r="U56" s="80"/>
      <c r="V56" s="80"/>
      <c r="W56" s="80"/>
      <c r="X56" s="80"/>
    </row>
    <row r="57" spans="1:24" ht="35.1" customHeight="1" x14ac:dyDescent="0.25">
      <c r="A57" s="1535"/>
      <c r="B57" s="1536"/>
      <c r="C57" s="1537"/>
      <c r="D57" s="1536"/>
      <c r="E57" s="1537"/>
      <c r="F57" s="1538"/>
      <c r="G57" s="124"/>
      <c r="M57" s="80"/>
      <c r="N57" s="80"/>
      <c r="O57" s="80"/>
      <c r="Q57" s="125"/>
      <c r="R57" s="80"/>
      <c r="S57" s="80"/>
      <c r="T57" s="80"/>
      <c r="U57" s="80"/>
      <c r="V57" s="80"/>
      <c r="W57" s="80"/>
      <c r="X57" s="80"/>
    </row>
    <row r="58" spans="1:24" ht="35.1" customHeight="1" x14ac:dyDescent="0.25">
      <c r="A58" s="1535"/>
      <c r="B58" s="1536"/>
      <c r="C58" s="1537"/>
      <c r="D58" s="1536"/>
      <c r="E58" s="1537"/>
      <c r="F58" s="1538"/>
      <c r="G58" s="124"/>
      <c r="M58" s="80"/>
      <c r="N58" s="80"/>
      <c r="O58" s="80"/>
      <c r="Q58" s="125"/>
      <c r="R58" s="80"/>
      <c r="S58" s="80"/>
      <c r="T58" s="80"/>
      <c r="U58" s="80"/>
      <c r="V58" s="80"/>
      <c r="W58" s="80"/>
      <c r="X58" s="80"/>
    </row>
    <row r="59" spans="1:24" ht="35.1" customHeight="1" x14ac:dyDescent="0.25">
      <c r="A59" s="1535"/>
      <c r="B59" s="1536"/>
      <c r="C59" s="1537"/>
      <c r="D59" s="1536"/>
      <c r="E59" s="1537"/>
      <c r="F59" s="1538"/>
      <c r="G59" s="124"/>
      <c r="M59" s="80"/>
      <c r="N59" s="80"/>
      <c r="O59" s="80"/>
      <c r="Q59" s="125"/>
      <c r="R59" s="80"/>
      <c r="S59" s="80"/>
      <c r="T59" s="80"/>
      <c r="U59" s="80"/>
      <c r="V59" s="80"/>
      <c r="W59" s="80"/>
      <c r="X59" s="80"/>
    </row>
    <row r="60" spans="1:24" ht="35.1" customHeight="1" thickBot="1" x14ac:dyDescent="0.3">
      <c r="A60" s="1535"/>
      <c r="B60" s="1536"/>
      <c r="C60" s="1537"/>
      <c r="D60" s="1536"/>
      <c r="E60" s="1537"/>
      <c r="F60" s="1538"/>
      <c r="G60" s="124"/>
      <c r="M60" s="80"/>
      <c r="N60" s="80"/>
      <c r="O60" s="80"/>
      <c r="Q60" s="125"/>
      <c r="R60" s="80"/>
      <c r="S60" s="80"/>
      <c r="T60" s="80"/>
      <c r="U60" s="80"/>
      <c r="V60" s="80"/>
      <c r="W60" s="80"/>
      <c r="X60" s="80"/>
    </row>
    <row r="61" spans="1:24" ht="30" customHeight="1" thickBot="1" x14ac:dyDescent="0.3">
      <c r="A61" s="984" t="s">
        <v>1654</v>
      </c>
      <c r="B61" s="985"/>
      <c r="C61" s="985"/>
      <c r="D61" s="985"/>
      <c r="E61" s="985"/>
      <c r="F61" s="986"/>
    </row>
    <row r="62" spans="1:24" ht="20.100000000000001" customHeight="1" x14ac:dyDescent="0.25">
      <c r="A62" s="1527" t="s">
        <v>1633</v>
      </c>
      <c r="B62" s="1528"/>
      <c r="C62" s="1528" t="s">
        <v>1632</v>
      </c>
      <c r="D62" s="1528"/>
      <c r="E62" s="1529" t="s">
        <v>1653</v>
      </c>
      <c r="F62" s="1530"/>
      <c r="M62" s="125"/>
      <c r="N62" s="125"/>
      <c r="O62" s="125"/>
      <c r="Q62" s="125"/>
      <c r="R62" s="125"/>
    </row>
    <row r="63" spans="1:24" ht="20.100000000000001" customHeight="1" thickBot="1" x14ac:dyDescent="0.3">
      <c r="A63" s="1533" t="s">
        <v>1651</v>
      </c>
      <c r="B63" s="1534"/>
      <c r="C63" s="1534" t="s">
        <v>1652</v>
      </c>
      <c r="D63" s="1534"/>
      <c r="E63" s="1531"/>
      <c r="F63" s="1532"/>
      <c r="M63" s="125"/>
      <c r="N63" s="125"/>
      <c r="O63" s="125"/>
      <c r="Q63" s="125"/>
      <c r="R63" s="125"/>
    </row>
    <row r="64" spans="1:24" ht="35.1" customHeight="1" x14ac:dyDescent="0.25">
      <c r="A64" s="1535"/>
      <c r="B64" s="1536"/>
      <c r="C64" s="1537"/>
      <c r="D64" s="1536"/>
      <c r="E64" s="1537"/>
      <c r="F64" s="1538"/>
      <c r="G64" s="124"/>
      <c r="M64" s="80"/>
      <c r="N64" s="80"/>
      <c r="O64" s="80"/>
      <c r="Q64" s="125"/>
      <c r="R64" s="80"/>
      <c r="S64" s="80"/>
      <c r="T64" s="80"/>
      <c r="U64" s="80"/>
      <c r="V64" s="80"/>
      <c r="W64" s="80"/>
      <c r="X64" s="80"/>
    </row>
    <row r="65" spans="1:24" ht="35.1" customHeight="1" x14ac:dyDescent="0.25">
      <c r="A65" s="1535"/>
      <c r="B65" s="1536"/>
      <c r="C65" s="1537"/>
      <c r="D65" s="1536"/>
      <c r="E65" s="1537"/>
      <c r="F65" s="1538"/>
      <c r="G65" s="124"/>
      <c r="M65" s="80"/>
      <c r="N65" s="80"/>
      <c r="O65" s="80"/>
      <c r="Q65" s="125"/>
      <c r="R65" s="80"/>
      <c r="S65" s="80"/>
      <c r="T65" s="80"/>
      <c r="U65" s="80"/>
      <c r="V65" s="80"/>
      <c r="W65" s="80"/>
      <c r="X65" s="80"/>
    </row>
    <row r="66" spans="1:24" ht="35.1" customHeight="1" x14ac:dyDescent="0.25">
      <c r="A66" s="1535"/>
      <c r="B66" s="1536"/>
      <c r="C66" s="1537"/>
      <c r="D66" s="1536"/>
      <c r="E66" s="1537"/>
      <c r="F66" s="1538"/>
      <c r="G66" s="124"/>
      <c r="M66" s="80"/>
      <c r="N66" s="80"/>
      <c r="O66" s="80"/>
      <c r="Q66" s="125"/>
      <c r="R66" s="80"/>
      <c r="S66" s="80"/>
      <c r="T66" s="80"/>
      <c r="U66" s="80"/>
      <c r="V66" s="80"/>
      <c r="W66" s="80"/>
      <c r="X66" s="80"/>
    </row>
    <row r="67" spans="1:24" ht="35.1" customHeight="1" x14ac:dyDescent="0.25">
      <c r="A67" s="1535"/>
      <c r="B67" s="1536"/>
      <c r="C67" s="1537"/>
      <c r="D67" s="1536"/>
      <c r="E67" s="1537"/>
      <c r="F67" s="1538"/>
      <c r="G67" s="124"/>
      <c r="M67" s="80"/>
      <c r="N67" s="80"/>
      <c r="O67" s="80"/>
      <c r="Q67" s="125"/>
      <c r="R67" s="80"/>
      <c r="S67" s="80"/>
      <c r="T67" s="80"/>
      <c r="U67" s="80"/>
      <c r="V67" s="80"/>
      <c r="W67" s="80"/>
      <c r="X67" s="80"/>
    </row>
    <row r="68" spans="1:24" ht="35.1" customHeight="1" x14ac:dyDescent="0.25">
      <c r="A68" s="1535"/>
      <c r="B68" s="1536"/>
      <c r="C68" s="1537"/>
      <c r="D68" s="1536"/>
      <c r="E68" s="1537"/>
      <c r="F68" s="1538"/>
      <c r="G68" s="124"/>
      <c r="M68" s="80"/>
      <c r="N68" s="80"/>
      <c r="O68" s="80"/>
      <c r="Q68" s="125"/>
      <c r="R68" s="80"/>
      <c r="S68" s="80"/>
      <c r="T68" s="80"/>
      <c r="U68" s="80"/>
      <c r="V68" s="80"/>
      <c r="W68" s="80"/>
      <c r="X68" s="80"/>
    </row>
    <row r="69" spans="1:24" ht="35.1" customHeight="1" x14ac:dyDescent="0.25">
      <c r="A69" s="1535"/>
      <c r="B69" s="1536"/>
      <c r="C69" s="1537"/>
      <c r="D69" s="1536"/>
      <c r="E69" s="1537"/>
      <c r="F69" s="1538"/>
      <c r="G69" s="124"/>
      <c r="M69" s="80"/>
      <c r="N69" s="80"/>
      <c r="O69" s="80"/>
      <c r="Q69" s="125"/>
      <c r="R69" s="80"/>
      <c r="S69" s="80"/>
      <c r="T69" s="80"/>
      <c r="U69" s="80"/>
      <c r="V69" s="80"/>
      <c r="W69" s="80"/>
      <c r="X69" s="80"/>
    </row>
    <row r="70" spans="1:24" ht="35.1" customHeight="1" x14ac:dyDescent="0.25">
      <c r="A70" s="1535"/>
      <c r="B70" s="1536"/>
      <c r="C70" s="1537"/>
      <c r="D70" s="1536"/>
      <c r="E70" s="1537"/>
      <c r="F70" s="1538"/>
      <c r="G70" s="124"/>
      <c r="M70" s="80"/>
      <c r="N70" s="80"/>
      <c r="O70" s="80"/>
      <c r="Q70" s="125"/>
      <c r="R70" s="80"/>
      <c r="S70" s="80"/>
      <c r="T70" s="80"/>
      <c r="U70" s="80"/>
      <c r="V70" s="80"/>
      <c r="W70" s="80"/>
      <c r="X70" s="80"/>
    </row>
    <row r="71" spans="1:24" ht="35.1" customHeight="1" x14ac:dyDescent="0.25">
      <c r="A71" s="1535"/>
      <c r="B71" s="1536"/>
      <c r="C71" s="1537"/>
      <c r="D71" s="1536"/>
      <c r="E71" s="1537"/>
      <c r="F71" s="1538"/>
      <c r="G71" s="124"/>
      <c r="M71" s="80"/>
      <c r="N71" s="80"/>
      <c r="O71" s="80"/>
      <c r="Q71" s="125"/>
      <c r="R71" s="80"/>
      <c r="S71" s="80"/>
      <c r="T71" s="80"/>
      <c r="U71" s="80"/>
      <c r="V71" s="80"/>
      <c r="W71" s="80"/>
      <c r="X71" s="80"/>
    </row>
    <row r="72" spans="1:24" ht="35.1" customHeight="1" x14ac:dyDescent="0.25">
      <c r="A72" s="1535"/>
      <c r="B72" s="1536"/>
      <c r="C72" s="1537"/>
      <c r="D72" s="1536"/>
      <c r="E72" s="1537"/>
      <c r="F72" s="1538"/>
      <c r="G72" s="124"/>
      <c r="M72" s="80"/>
      <c r="N72" s="80"/>
      <c r="O72" s="80"/>
      <c r="Q72" s="125"/>
      <c r="R72" s="80"/>
      <c r="S72" s="80"/>
      <c r="T72" s="80"/>
      <c r="U72" s="80"/>
      <c r="V72" s="80"/>
      <c r="W72" s="80"/>
      <c r="X72" s="80"/>
    </row>
    <row r="73" spans="1:24" ht="35.1" customHeight="1" x14ac:dyDescent="0.25">
      <c r="A73" s="1535"/>
      <c r="B73" s="1536"/>
      <c r="C73" s="1537"/>
      <c r="D73" s="1536"/>
      <c r="E73" s="1537"/>
      <c r="F73" s="1538"/>
      <c r="G73" s="124"/>
      <c r="M73" s="80"/>
      <c r="N73" s="80"/>
      <c r="O73" s="80"/>
      <c r="Q73" s="125"/>
      <c r="R73" s="80"/>
      <c r="S73" s="80"/>
      <c r="T73" s="80"/>
      <c r="U73" s="80"/>
      <c r="V73" s="80"/>
      <c r="W73" s="80"/>
      <c r="X73" s="80"/>
    </row>
    <row r="74" spans="1:24" ht="35.1" customHeight="1" x14ac:dyDescent="0.25">
      <c r="A74" s="1535"/>
      <c r="B74" s="1536"/>
      <c r="C74" s="1537"/>
      <c r="D74" s="1536"/>
      <c r="E74" s="1537"/>
      <c r="F74" s="1538"/>
      <c r="G74" s="124"/>
      <c r="M74" s="80"/>
      <c r="N74" s="80"/>
      <c r="O74" s="80"/>
      <c r="Q74" s="125"/>
      <c r="R74" s="80"/>
      <c r="S74" s="80"/>
      <c r="T74" s="80"/>
      <c r="U74" s="80"/>
      <c r="V74" s="80"/>
      <c r="W74" s="80"/>
      <c r="X74" s="80"/>
    </row>
    <row r="75" spans="1:24" ht="35.1" customHeight="1" x14ac:dyDescent="0.25">
      <c r="A75" s="1535"/>
      <c r="B75" s="1536"/>
      <c r="C75" s="1537"/>
      <c r="D75" s="1536"/>
      <c r="E75" s="1537"/>
      <c r="F75" s="1538"/>
      <c r="G75" s="124"/>
      <c r="M75" s="80"/>
      <c r="N75" s="80"/>
      <c r="O75" s="80"/>
      <c r="Q75" s="125"/>
      <c r="R75" s="80"/>
      <c r="S75" s="80"/>
      <c r="T75" s="80"/>
      <c r="U75" s="80"/>
      <c r="V75" s="80"/>
      <c r="W75" s="80"/>
      <c r="X75" s="80"/>
    </row>
    <row r="76" spans="1:24" ht="35.1" customHeight="1" x14ac:dyDescent="0.25">
      <c r="A76" s="1535"/>
      <c r="B76" s="1536"/>
      <c r="C76" s="1537"/>
      <c r="D76" s="1536"/>
      <c r="E76" s="1537"/>
      <c r="F76" s="1538"/>
      <c r="G76" s="124"/>
      <c r="M76" s="80"/>
      <c r="N76" s="80"/>
      <c r="O76" s="80"/>
      <c r="Q76" s="125"/>
      <c r="R76" s="80"/>
      <c r="S76" s="80"/>
      <c r="T76" s="80"/>
      <c r="U76" s="80"/>
      <c r="V76" s="80"/>
      <c r="W76" s="80"/>
      <c r="X76" s="80"/>
    </row>
    <row r="77" spans="1:24" ht="35.1" customHeight="1" x14ac:dyDescent="0.25">
      <c r="A77" s="1535"/>
      <c r="B77" s="1536"/>
      <c r="C77" s="1537"/>
      <c r="D77" s="1536"/>
      <c r="E77" s="1537"/>
      <c r="F77" s="1538"/>
      <c r="G77" s="124"/>
      <c r="M77" s="80"/>
      <c r="N77" s="80"/>
      <c r="O77" s="80"/>
      <c r="Q77" s="125"/>
      <c r="R77" s="80"/>
      <c r="S77" s="80"/>
      <c r="T77" s="80"/>
      <c r="U77" s="80"/>
      <c r="V77" s="80"/>
      <c r="W77" s="80"/>
      <c r="X77" s="80"/>
    </row>
    <row r="78" spans="1:24" ht="35.1" customHeight="1" x14ac:dyDescent="0.25">
      <c r="A78" s="1535"/>
      <c r="B78" s="1536"/>
      <c r="C78" s="1537"/>
      <c r="D78" s="1536"/>
      <c r="E78" s="1537"/>
      <c r="F78" s="1538"/>
      <c r="G78" s="124"/>
      <c r="M78" s="80"/>
      <c r="N78" s="80"/>
      <c r="O78" s="80"/>
      <c r="Q78" s="125"/>
      <c r="R78" s="80"/>
      <c r="S78" s="80"/>
      <c r="T78" s="80"/>
      <c r="U78" s="80"/>
      <c r="V78" s="80"/>
      <c r="W78" s="80"/>
      <c r="X78" s="80"/>
    </row>
    <row r="79" spans="1:24" ht="35.1" customHeight="1" x14ac:dyDescent="0.25">
      <c r="A79" s="1535"/>
      <c r="B79" s="1536"/>
      <c r="C79" s="1537"/>
      <c r="D79" s="1536"/>
      <c r="E79" s="1537"/>
      <c r="F79" s="1538"/>
      <c r="G79" s="124"/>
      <c r="M79" s="80"/>
      <c r="N79" s="80"/>
      <c r="O79" s="80"/>
      <c r="Q79" s="125"/>
      <c r="R79" s="80"/>
      <c r="S79" s="80"/>
      <c r="T79" s="80"/>
      <c r="U79" s="80"/>
      <c r="V79" s="80"/>
      <c r="W79" s="80"/>
      <c r="X79" s="80"/>
    </row>
    <row r="80" spans="1:24" ht="35.1" customHeight="1" x14ac:dyDescent="0.25">
      <c r="A80" s="1535"/>
      <c r="B80" s="1536"/>
      <c r="C80" s="1537"/>
      <c r="D80" s="1536"/>
      <c r="E80" s="1537"/>
      <c r="F80" s="1538"/>
      <c r="G80" s="124"/>
      <c r="M80" s="80"/>
      <c r="N80" s="80"/>
      <c r="O80" s="80"/>
      <c r="Q80" s="125"/>
      <c r="R80" s="80"/>
      <c r="S80" s="80"/>
      <c r="T80" s="80"/>
      <c r="U80" s="80"/>
      <c r="V80" s="80"/>
      <c r="W80" s="80"/>
      <c r="X80" s="80"/>
    </row>
    <row r="81" spans="1:24" ht="35.1" customHeight="1" x14ac:dyDescent="0.25">
      <c r="A81" s="1535"/>
      <c r="B81" s="1536"/>
      <c r="C81" s="1537"/>
      <c r="D81" s="1536"/>
      <c r="E81" s="1537"/>
      <c r="F81" s="1538"/>
      <c r="G81" s="124"/>
      <c r="M81" s="80"/>
      <c r="N81" s="80"/>
      <c r="O81" s="80"/>
      <c r="Q81" s="125"/>
      <c r="R81" s="80"/>
      <c r="S81" s="80"/>
      <c r="T81" s="80"/>
      <c r="U81" s="80"/>
      <c r="V81" s="80"/>
      <c r="W81" s="80"/>
      <c r="X81" s="80"/>
    </row>
    <row r="82" spans="1:24" ht="35.1" customHeight="1" x14ac:dyDescent="0.25">
      <c r="A82" s="1535"/>
      <c r="B82" s="1536"/>
      <c r="C82" s="1537"/>
      <c r="D82" s="1536"/>
      <c r="E82" s="1537"/>
      <c r="F82" s="1538"/>
      <c r="G82" s="124"/>
      <c r="M82" s="80"/>
      <c r="N82" s="80"/>
      <c r="O82" s="80"/>
      <c r="Q82" s="125"/>
      <c r="R82" s="80"/>
      <c r="S82" s="80"/>
      <c r="T82" s="80"/>
      <c r="U82" s="80"/>
      <c r="V82" s="80"/>
      <c r="W82" s="80"/>
      <c r="X82" s="80"/>
    </row>
    <row r="83" spans="1:24" ht="35.1" customHeight="1" thickBot="1" x14ac:dyDescent="0.3">
      <c r="A83" s="1535"/>
      <c r="B83" s="1536"/>
      <c r="C83" s="1537"/>
      <c r="D83" s="1536"/>
      <c r="E83" s="1537"/>
      <c r="F83" s="1538"/>
      <c r="G83" s="124"/>
      <c r="M83" s="80"/>
      <c r="N83" s="80"/>
      <c r="O83" s="80"/>
      <c r="Q83" s="125"/>
      <c r="R83" s="80"/>
      <c r="S83" s="80"/>
      <c r="T83" s="80"/>
      <c r="U83" s="80"/>
      <c r="V83" s="80"/>
      <c r="W83" s="80"/>
      <c r="X83" s="80"/>
    </row>
    <row r="84" spans="1:24" ht="30" customHeight="1" thickBot="1" x14ac:dyDescent="0.3">
      <c r="A84" s="984" t="s">
        <v>1655</v>
      </c>
      <c r="B84" s="985"/>
      <c r="C84" s="985"/>
      <c r="D84" s="985"/>
      <c r="E84" s="985"/>
      <c r="F84" s="986"/>
    </row>
    <row r="85" spans="1:24" ht="54.95" customHeight="1" thickBot="1" x14ac:dyDescent="0.3">
      <c r="A85" s="1522" t="s">
        <v>1661</v>
      </c>
      <c r="B85" s="1523"/>
      <c r="C85" s="1523"/>
      <c r="D85" s="1523"/>
      <c r="E85" s="1523"/>
      <c r="F85" s="1524"/>
      <c r="G85" s="835"/>
      <c r="H85" s="67"/>
      <c r="I85" s="67"/>
      <c r="J85" s="67"/>
      <c r="K85" s="67"/>
    </row>
    <row r="86" spans="1:24" ht="20.100000000000001" customHeight="1" x14ac:dyDescent="0.25">
      <c r="A86" s="1527" t="s">
        <v>1632</v>
      </c>
      <c r="B86" s="1528"/>
      <c r="C86" s="1529" t="s">
        <v>1656</v>
      </c>
      <c r="D86" s="1544"/>
      <c r="E86" s="1544"/>
      <c r="F86" s="1530"/>
      <c r="M86" s="125"/>
      <c r="N86" s="125"/>
      <c r="O86" s="125"/>
      <c r="Q86" s="125"/>
      <c r="R86" s="125"/>
    </row>
    <row r="87" spans="1:24" ht="20.100000000000001" customHeight="1" thickBot="1" x14ac:dyDescent="0.3">
      <c r="A87" s="1533" t="s">
        <v>1652</v>
      </c>
      <c r="B87" s="1534"/>
      <c r="C87" s="1531"/>
      <c r="D87" s="1545"/>
      <c r="E87" s="1545"/>
      <c r="F87" s="1532"/>
      <c r="M87" s="125"/>
      <c r="N87" s="125"/>
      <c r="O87" s="125"/>
      <c r="Q87" s="125"/>
      <c r="R87" s="125"/>
    </row>
    <row r="88" spans="1:24" ht="35.1" customHeight="1" x14ac:dyDescent="0.25">
      <c r="A88" s="1539"/>
      <c r="B88" s="1540"/>
      <c r="C88" s="1541"/>
      <c r="D88" s="1546"/>
      <c r="E88" s="1546"/>
      <c r="F88" s="1542"/>
      <c r="G88" s="124"/>
      <c r="M88" s="80"/>
      <c r="N88" s="80"/>
      <c r="O88" s="80"/>
      <c r="Q88" s="125"/>
      <c r="R88" s="80"/>
      <c r="S88" s="80"/>
      <c r="T88" s="80"/>
      <c r="U88" s="80"/>
      <c r="V88" s="80"/>
      <c r="W88" s="80"/>
      <c r="X88" s="80"/>
    </row>
    <row r="89" spans="1:24" ht="35.1" customHeight="1" x14ac:dyDescent="0.25">
      <c r="A89" s="1535"/>
      <c r="B89" s="1536"/>
      <c r="C89" s="1537"/>
      <c r="D89" s="1543"/>
      <c r="E89" s="1543"/>
      <c r="F89" s="1538"/>
      <c r="G89" s="124"/>
      <c r="M89" s="80"/>
      <c r="N89" s="80"/>
      <c r="O89" s="80"/>
      <c r="Q89" s="125"/>
      <c r="R89" s="80"/>
      <c r="S89" s="80"/>
      <c r="T89" s="80"/>
      <c r="U89" s="80"/>
      <c r="V89" s="80"/>
      <c r="W89" s="80"/>
      <c r="X89" s="80"/>
    </row>
    <row r="90" spans="1:24" ht="35.1" customHeight="1" x14ac:dyDescent="0.25">
      <c r="A90" s="1535"/>
      <c r="B90" s="1536"/>
      <c r="C90" s="1537"/>
      <c r="D90" s="1543"/>
      <c r="E90" s="1543"/>
      <c r="F90" s="1538"/>
      <c r="G90" s="124"/>
      <c r="M90" s="80"/>
      <c r="N90" s="80"/>
      <c r="O90" s="80"/>
      <c r="Q90" s="125"/>
      <c r="R90" s="80"/>
      <c r="S90" s="80"/>
      <c r="T90" s="80"/>
      <c r="U90" s="80"/>
      <c r="V90" s="80"/>
      <c r="W90" s="80"/>
      <c r="X90" s="80"/>
    </row>
    <row r="91" spans="1:24" ht="35.1" customHeight="1" x14ac:dyDescent="0.25">
      <c r="A91" s="1535"/>
      <c r="B91" s="1536"/>
      <c r="C91" s="1537"/>
      <c r="D91" s="1543"/>
      <c r="E91" s="1543"/>
      <c r="F91" s="1538"/>
      <c r="G91" s="124"/>
      <c r="M91" s="80"/>
      <c r="N91" s="80"/>
      <c r="O91" s="80"/>
      <c r="Q91" s="125"/>
      <c r="R91" s="80"/>
      <c r="S91" s="80"/>
      <c r="T91" s="80"/>
      <c r="U91" s="80"/>
      <c r="V91" s="80"/>
      <c r="W91" s="80"/>
      <c r="X91" s="80"/>
    </row>
    <row r="92" spans="1:24" ht="35.1" customHeight="1" x14ac:dyDescent="0.25">
      <c r="A92" s="1535"/>
      <c r="B92" s="1536"/>
      <c r="C92" s="1537"/>
      <c r="D92" s="1543"/>
      <c r="E92" s="1543"/>
      <c r="F92" s="1538"/>
      <c r="G92" s="124"/>
      <c r="M92" s="80"/>
      <c r="N92" s="80"/>
      <c r="O92" s="80"/>
      <c r="Q92" s="125"/>
      <c r="R92" s="80"/>
      <c r="S92" s="80"/>
      <c r="T92" s="80"/>
      <c r="U92" s="80"/>
      <c r="V92" s="80"/>
      <c r="W92" s="80"/>
      <c r="X92" s="80"/>
    </row>
    <row r="93" spans="1:24" ht="35.1" customHeight="1" x14ac:dyDescent="0.25">
      <c r="A93" s="1535"/>
      <c r="B93" s="1536"/>
      <c r="C93" s="1537"/>
      <c r="D93" s="1543"/>
      <c r="E93" s="1543"/>
      <c r="F93" s="1538"/>
      <c r="G93" s="124"/>
      <c r="M93" s="80"/>
      <c r="N93" s="80"/>
      <c r="O93" s="80"/>
      <c r="Q93" s="125"/>
      <c r="R93" s="80"/>
      <c r="S93" s="80"/>
      <c r="T93" s="80"/>
      <c r="U93" s="80"/>
      <c r="V93" s="80"/>
      <c r="W93" s="80"/>
      <c r="X93" s="80"/>
    </row>
    <row r="94" spans="1:24" ht="35.1" customHeight="1" x14ac:dyDescent="0.25">
      <c r="A94" s="1535"/>
      <c r="B94" s="1536"/>
      <c r="C94" s="1537"/>
      <c r="D94" s="1543"/>
      <c r="E94" s="1543"/>
      <c r="F94" s="1538"/>
      <c r="G94" s="124"/>
      <c r="M94" s="80"/>
      <c r="N94" s="80"/>
      <c r="O94" s="80"/>
      <c r="Q94" s="125"/>
      <c r="R94" s="80"/>
      <c r="S94" s="80"/>
      <c r="T94" s="80"/>
      <c r="U94" s="80"/>
      <c r="V94" s="80"/>
      <c r="W94" s="80"/>
      <c r="X94" s="80"/>
    </row>
    <row r="95" spans="1:24" ht="35.1" customHeight="1" x14ac:dyDescent="0.25">
      <c r="A95" s="1535"/>
      <c r="B95" s="1536"/>
      <c r="C95" s="1537"/>
      <c r="D95" s="1543"/>
      <c r="E95" s="1543"/>
      <c r="F95" s="1538"/>
      <c r="G95" s="124"/>
      <c r="M95" s="80"/>
      <c r="N95" s="80"/>
      <c r="O95" s="80"/>
      <c r="Q95" s="125"/>
      <c r="R95" s="80"/>
      <c r="S95" s="80"/>
      <c r="T95" s="80"/>
      <c r="U95" s="80"/>
      <c r="V95" s="80"/>
      <c r="W95" s="80"/>
      <c r="X95" s="80"/>
    </row>
    <row r="96" spans="1:24" ht="35.1" customHeight="1" x14ac:dyDescent="0.25">
      <c r="A96" s="1535"/>
      <c r="B96" s="1536"/>
      <c r="C96" s="1537"/>
      <c r="D96" s="1543"/>
      <c r="E96" s="1543"/>
      <c r="F96" s="1538"/>
      <c r="G96" s="124"/>
      <c r="M96" s="80"/>
      <c r="N96" s="80"/>
      <c r="O96" s="80"/>
      <c r="Q96" s="125"/>
      <c r="R96" s="80"/>
      <c r="S96" s="80"/>
      <c r="T96" s="80"/>
      <c r="U96" s="80"/>
      <c r="V96" s="80"/>
      <c r="W96" s="80"/>
      <c r="X96" s="80"/>
    </row>
    <row r="97" spans="1:24" ht="35.1" customHeight="1" x14ac:dyDescent="0.25">
      <c r="A97" s="1535"/>
      <c r="B97" s="1536"/>
      <c r="C97" s="1537"/>
      <c r="D97" s="1543"/>
      <c r="E97" s="1543"/>
      <c r="F97" s="1538"/>
      <c r="G97" s="124"/>
      <c r="M97" s="80"/>
      <c r="N97" s="80"/>
      <c r="O97" s="80"/>
      <c r="Q97" s="125"/>
      <c r="R97" s="80"/>
      <c r="S97" s="80"/>
      <c r="T97" s="80"/>
      <c r="U97" s="80"/>
      <c r="V97" s="80"/>
      <c r="W97" s="80"/>
      <c r="X97" s="80"/>
    </row>
    <row r="98" spans="1:24" ht="35.1" customHeight="1" x14ac:dyDescent="0.25">
      <c r="A98" s="1535"/>
      <c r="B98" s="1536"/>
      <c r="C98" s="1537"/>
      <c r="D98" s="1543"/>
      <c r="E98" s="1543"/>
      <c r="F98" s="1538"/>
      <c r="G98" s="124"/>
      <c r="M98" s="80"/>
      <c r="N98" s="80"/>
      <c r="O98" s="80"/>
      <c r="Q98" s="125"/>
      <c r="R98" s="80"/>
      <c r="S98" s="80"/>
      <c r="T98" s="80"/>
      <c r="U98" s="80"/>
      <c r="V98" s="80"/>
      <c r="W98" s="80"/>
      <c r="X98" s="80"/>
    </row>
    <row r="99" spans="1:24" ht="35.1" customHeight="1" x14ac:dyDescent="0.25">
      <c r="A99" s="1535"/>
      <c r="B99" s="1536"/>
      <c r="C99" s="1537"/>
      <c r="D99" s="1543"/>
      <c r="E99" s="1543"/>
      <c r="F99" s="1538"/>
      <c r="G99" s="124"/>
      <c r="M99" s="80"/>
      <c r="N99" s="80"/>
      <c r="O99" s="80"/>
      <c r="Q99" s="125"/>
      <c r="R99" s="80"/>
      <c r="S99" s="80"/>
      <c r="T99" s="80"/>
      <c r="U99" s="80"/>
      <c r="V99" s="80"/>
      <c r="W99" s="80"/>
      <c r="X99" s="80"/>
    </row>
    <row r="100" spans="1:24" ht="35.1" customHeight="1" x14ac:dyDescent="0.25">
      <c r="A100" s="1535"/>
      <c r="B100" s="1536"/>
      <c r="C100" s="1537"/>
      <c r="D100" s="1543"/>
      <c r="E100" s="1543"/>
      <c r="F100" s="1538"/>
      <c r="G100" s="124"/>
      <c r="M100" s="80"/>
      <c r="N100" s="80"/>
      <c r="O100" s="80"/>
      <c r="Q100" s="125"/>
      <c r="R100" s="80"/>
      <c r="S100" s="80"/>
      <c r="T100" s="80"/>
      <c r="U100" s="80"/>
      <c r="V100" s="80"/>
      <c r="W100" s="80"/>
      <c r="X100" s="80"/>
    </row>
    <row r="101" spans="1:24" ht="35.1" customHeight="1" x14ac:dyDescent="0.25">
      <c r="A101" s="1535"/>
      <c r="B101" s="1536"/>
      <c r="C101" s="1537"/>
      <c r="D101" s="1543"/>
      <c r="E101" s="1543"/>
      <c r="F101" s="1538"/>
      <c r="G101" s="124"/>
      <c r="M101" s="80"/>
      <c r="N101" s="80"/>
      <c r="O101" s="80"/>
      <c r="Q101" s="125"/>
      <c r="R101" s="80"/>
      <c r="S101" s="80"/>
      <c r="T101" s="80"/>
      <c r="U101" s="80"/>
      <c r="V101" s="80"/>
      <c r="W101" s="80"/>
      <c r="X101" s="80"/>
    </row>
    <row r="102" spans="1:24" ht="35.1" customHeight="1" x14ac:dyDescent="0.25">
      <c r="A102" s="1535"/>
      <c r="B102" s="1536"/>
      <c r="C102" s="1537"/>
      <c r="D102" s="1543"/>
      <c r="E102" s="1543"/>
      <c r="F102" s="1538"/>
      <c r="G102" s="124"/>
      <c r="M102" s="80"/>
      <c r="N102" s="80"/>
      <c r="O102" s="80"/>
      <c r="Q102" s="125"/>
      <c r="R102" s="80"/>
      <c r="S102" s="80"/>
      <c r="T102" s="80"/>
      <c r="U102" s="80"/>
      <c r="V102" s="80"/>
      <c r="W102" s="80"/>
      <c r="X102" s="80"/>
    </row>
    <row r="103" spans="1:24" ht="35.1" customHeight="1" x14ac:dyDescent="0.25">
      <c r="A103" s="1535"/>
      <c r="B103" s="1536"/>
      <c r="C103" s="1537"/>
      <c r="D103" s="1543"/>
      <c r="E103" s="1543"/>
      <c r="F103" s="1538"/>
      <c r="G103" s="124"/>
      <c r="M103" s="80"/>
      <c r="N103" s="80"/>
      <c r="O103" s="80"/>
      <c r="Q103" s="125"/>
      <c r="R103" s="80"/>
      <c r="S103" s="80"/>
      <c r="T103" s="80"/>
      <c r="U103" s="80"/>
      <c r="V103" s="80"/>
      <c r="W103" s="80"/>
      <c r="X103" s="80"/>
    </row>
    <row r="104" spans="1:24" ht="35.1" customHeight="1" x14ac:dyDescent="0.25">
      <c r="A104" s="1535"/>
      <c r="B104" s="1536"/>
      <c r="C104" s="1537"/>
      <c r="D104" s="1543"/>
      <c r="E104" s="1543"/>
      <c r="F104" s="1538"/>
      <c r="G104" s="124"/>
      <c r="M104" s="80"/>
      <c r="N104" s="80"/>
      <c r="O104" s="80"/>
      <c r="Q104" s="125"/>
      <c r="R104" s="80"/>
      <c r="S104" s="80"/>
      <c r="T104" s="80"/>
      <c r="U104" s="80"/>
      <c r="V104" s="80"/>
      <c r="W104" s="80"/>
      <c r="X104" s="80"/>
    </row>
    <row r="105" spans="1:24" ht="35.1" customHeight="1" thickBot="1" x14ac:dyDescent="0.3">
      <c r="A105" s="1535"/>
      <c r="B105" s="1536"/>
      <c r="C105" s="1537"/>
      <c r="D105" s="1543"/>
      <c r="E105" s="1543"/>
      <c r="F105" s="1538"/>
      <c r="G105" s="124"/>
      <c r="M105" s="80"/>
      <c r="N105" s="80"/>
      <c r="O105" s="80"/>
      <c r="Q105" s="125"/>
      <c r="R105" s="80"/>
      <c r="S105" s="80"/>
      <c r="T105" s="80"/>
      <c r="U105" s="80"/>
      <c r="V105" s="80"/>
      <c r="W105" s="80"/>
      <c r="X105" s="80"/>
    </row>
    <row r="106" spans="1:24" ht="30" customHeight="1" thickBot="1" x14ac:dyDescent="0.3">
      <c r="A106" s="984" t="s">
        <v>1655</v>
      </c>
      <c r="B106" s="985"/>
      <c r="C106" s="985"/>
      <c r="D106" s="985"/>
      <c r="E106" s="985"/>
      <c r="F106" s="986"/>
    </row>
    <row r="107" spans="1:24" ht="20.100000000000001" customHeight="1" x14ac:dyDescent="0.25">
      <c r="A107" s="1527" t="s">
        <v>1632</v>
      </c>
      <c r="B107" s="1528"/>
      <c r="C107" s="1529" t="s">
        <v>1656</v>
      </c>
      <c r="D107" s="1544"/>
      <c r="E107" s="1544"/>
      <c r="F107" s="1530"/>
      <c r="M107" s="125"/>
      <c r="N107" s="125"/>
      <c r="O107" s="125"/>
      <c r="Q107" s="125"/>
      <c r="R107" s="125"/>
    </row>
    <row r="108" spans="1:24" ht="20.100000000000001" customHeight="1" thickBot="1" x14ac:dyDescent="0.3">
      <c r="A108" s="1533" t="s">
        <v>1652</v>
      </c>
      <c r="B108" s="1534"/>
      <c r="C108" s="1531"/>
      <c r="D108" s="1545"/>
      <c r="E108" s="1545"/>
      <c r="F108" s="1532"/>
      <c r="M108" s="125"/>
      <c r="N108" s="125"/>
      <c r="O108" s="125"/>
      <c r="Q108" s="125"/>
      <c r="R108" s="125"/>
    </row>
    <row r="109" spans="1:24" ht="35.1" customHeight="1" x14ac:dyDescent="0.25">
      <c r="A109" s="1535"/>
      <c r="B109" s="1536"/>
      <c r="C109" s="1537"/>
      <c r="D109" s="1543"/>
      <c r="E109" s="1543"/>
      <c r="F109" s="1538"/>
      <c r="G109" s="124"/>
      <c r="M109" s="80"/>
      <c r="N109" s="80"/>
      <c r="O109" s="80"/>
      <c r="Q109" s="125"/>
      <c r="R109" s="80"/>
      <c r="S109" s="80"/>
      <c r="T109" s="80"/>
      <c r="U109" s="80"/>
      <c r="V109" s="80"/>
      <c r="W109" s="80"/>
      <c r="X109" s="80"/>
    </row>
    <row r="110" spans="1:24" ht="35.1" customHeight="1" x14ac:dyDescent="0.25">
      <c r="A110" s="1535"/>
      <c r="B110" s="1536"/>
      <c r="C110" s="1537"/>
      <c r="D110" s="1543"/>
      <c r="E110" s="1543"/>
      <c r="F110" s="1538"/>
      <c r="G110" s="124"/>
      <c r="M110" s="80"/>
      <c r="N110" s="80"/>
      <c r="O110" s="80"/>
      <c r="Q110" s="125"/>
      <c r="R110" s="80"/>
      <c r="S110" s="80"/>
      <c r="T110" s="80"/>
      <c r="U110" s="80"/>
      <c r="V110" s="80"/>
      <c r="W110" s="80"/>
      <c r="X110" s="80"/>
    </row>
    <row r="111" spans="1:24" ht="35.1" customHeight="1" x14ac:dyDescent="0.25">
      <c r="A111" s="1535"/>
      <c r="B111" s="1536"/>
      <c r="C111" s="1537"/>
      <c r="D111" s="1543"/>
      <c r="E111" s="1543"/>
      <c r="F111" s="1538"/>
      <c r="G111" s="124"/>
      <c r="M111" s="80"/>
      <c r="N111" s="80"/>
      <c r="O111" s="80"/>
      <c r="Q111" s="125"/>
      <c r="R111" s="80"/>
      <c r="S111" s="80"/>
      <c r="T111" s="80"/>
      <c r="U111" s="80"/>
      <c r="V111" s="80"/>
      <c r="W111" s="80"/>
      <c r="X111" s="80"/>
    </row>
    <row r="112" spans="1:24" ht="35.1" customHeight="1" x14ac:dyDescent="0.25">
      <c r="A112" s="1535"/>
      <c r="B112" s="1536"/>
      <c r="C112" s="1537"/>
      <c r="D112" s="1543"/>
      <c r="E112" s="1543"/>
      <c r="F112" s="1538"/>
      <c r="G112" s="124"/>
      <c r="M112" s="80"/>
      <c r="N112" s="80"/>
      <c r="O112" s="80"/>
      <c r="Q112" s="125"/>
      <c r="R112" s="80"/>
      <c r="S112" s="80"/>
      <c r="T112" s="80"/>
      <c r="U112" s="80"/>
      <c r="V112" s="80"/>
      <c r="W112" s="80"/>
      <c r="X112" s="80"/>
    </row>
    <row r="113" spans="1:24" ht="35.1" customHeight="1" x14ac:dyDescent="0.25">
      <c r="A113" s="1535"/>
      <c r="B113" s="1536"/>
      <c r="C113" s="1537"/>
      <c r="D113" s="1543"/>
      <c r="E113" s="1543"/>
      <c r="F113" s="1538"/>
      <c r="G113" s="124"/>
      <c r="M113" s="80"/>
      <c r="N113" s="80"/>
      <c r="O113" s="80"/>
      <c r="Q113" s="125"/>
      <c r="R113" s="80"/>
      <c r="S113" s="80"/>
      <c r="T113" s="80"/>
      <c r="U113" s="80"/>
      <c r="V113" s="80"/>
      <c r="W113" s="80"/>
      <c r="X113" s="80"/>
    </row>
    <row r="114" spans="1:24" ht="35.1" customHeight="1" x14ac:dyDescent="0.25">
      <c r="A114" s="1535"/>
      <c r="B114" s="1536"/>
      <c r="C114" s="1537"/>
      <c r="D114" s="1543"/>
      <c r="E114" s="1543"/>
      <c r="F114" s="1538"/>
      <c r="G114" s="124"/>
      <c r="M114" s="80"/>
      <c r="N114" s="80"/>
      <c r="O114" s="80"/>
      <c r="Q114" s="125"/>
      <c r="R114" s="80"/>
      <c r="S114" s="80"/>
      <c r="T114" s="80"/>
      <c r="U114" s="80"/>
      <c r="V114" s="80"/>
      <c r="W114" s="80"/>
      <c r="X114" s="80"/>
    </row>
    <row r="115" spans="1:24" ht="35.1" customHeight="1" x14ac:dyDescent="0.25">
      <c r="A115" s="1535"/>
      <c r="B115" s="1536"/>
      <c r="C115" s="1537"/>
      <c r="D115" s="1543"/>
      <c r="E115" s="1543"/>
      <c r="F115" s="1538"/>
      <c r="G115" s="124"/>
      <c r="M115" s="80"/>
      <c r="N115" s="80"/>
      <c r="O115" s="80"/>
      <c r="Q115" s="125"/>
      <c r="R115" s="80"/>
      <c r="S115" s="80"/>
      <c r="T115" s="80"/>
      <c r="U115" s="80"/>
      <c r="V115" s="80"/>
      <c r="W115" s="80"/>
      <c r="X115" s="80"/>
    </row>
    <row r="116" spans="1:24" ht="35.1" customHeight="1" x14ac:dyDescent="0.25">
      <c r="A116" s="1535"/>
      <c r="B116" s="1536"/>
      <c r="C116" s="1537"/>
      <c r="D116" s="1543"/>
      <c r="E116" s="1543"/>
      <c r="F116" s="1538"/>
      <c r="G116" s="124"/>
      <c r="M116" s="80"/>
      <c r="N116" s="80"/>
      <c r="O116" s="80"/>
      <c r="Q116" s="125"/>
      <c r="R116" s="80"/>
      <c r="S116" s="80"/>
      <c r="T116" s="80"/>
      <c r="U116" s="80"/>
      <c r="V116" s="80"/>
      <c r="W116" s="80"/>
      <c r="X116" s="80"/>
    </row>
    <row r="117" spans="1:24" ht="35.1" customHeight="1" x14ac:dyDescent="0.25">
      <c r="A117" s="1535"/>
      <c r="B117" s="1536"/>
      <c r="C117" s="1537"/>
      <c r="D117" s="1543"/>
      <c r="E117" s="1543"/>
      <c r="F117" s="1538"/>
      <c r="G117" s="124"/>
      <c r="M117" s="80"/>
      <c r="N117" s="80"/>
      <c r="O117" s="80"/>
      <c r="Q117" s="125"/>
      <c r="R117" s="80"/>
      <c r="S117" s="80"/>
      <c r="T117" s="80"/>
      <c r="U117" s="80"/>
      <c r="V117" s="80"/>
      <c r="W117" s="80"/>
      <c r="X117" s="80"/>
    </row>
    <row r="118" spans="1:24" ht="35.1" customHeight="1" x14ac:dyDescent="0.25">
      <c r="A118" s="1535"/>
      <c r="B118" s="1536"/>
      <c r="C118" s="1537"/>
      <c r="D118" s="1543"/>
      <c r="E118" s="1543"/>
      <c r="F118" s="1538"/>
      <c r="G118" s="124"/>
      <c r="M118" s="80"/>
      <c r="N118" s="80"/>
      <c r="O118" s="80"/>
      <c r="Q118" s="125"/>
      <c r="R118" s="80"/>
      <c r="S118" s="80"/>
      <c r="T118" s="80"/>
      <c r="U118" s="80"/>
      <c r="V118" s="80"/>
      <c r="W118" s="80"/>
      <c r="X118" s="80"/>
    </row>
    <row r="119" spans="1:24" ht="35.1" customHeight="1" x14ac:dyDescent="0.25">
      <c r="A119" s="1535"/>
      <c r="B119" s="1536"/>
      <c r="C119" s="1537"/>
      <c r="D119" s="1543"/>
      <c r="E119" s="1543"/>
      <c r="F119" s="1538"/>
      <c r="G119" s="124"/>
      <c r="M119" s="80"/>
      <c r="N119" s="80"/>
      <c r="O119" s="80"/>
      <c r="Q119" s="125"/>
      <c r="R119" s="80"/>
      <c r="S119" s="80"/>
      <c r="T119" s="80"/>
      <c r="U119" s="80"/>
      <c r="V119" s="80"/>
      <c r="W119" s="80"/>
      <c r="X119" s="80"/>
    </row>
    <row r="120" spans="1:24" ht="35.1" customHeight="1" x14ac:dyDescent="0.25">
      <c r="A120" s="1535"/>
      <c r="B120" s="1536"/>
      <c r="C120" s="1537"/>
      <c r="D120" s="1543"/>
      <c r="E120" s="1543"/>
      <c r="F120" s="1538"/>
      <c r="G120" s="124"/>
      <c r="M120" s="80"/>
      <c r="N120" s="80"/>
      <c r="O120" s="80"/>
      <c r="Q120" s="125"/>
      <c r="R120" s="80"/>
      <c r="S120" s="80"/>
      <c r="T120" s="80"/>
      <c r="U120" s="80"/>
      <c r="V120" s="80"/>
      <c r="W120" s="80"/>
      <c r="X120" s="80"/>
    </row>
    <row r="121" spans="1:24" ht="35.1" customHeight="1" x14ac:dyDescent="0.25">
      <c r="A121" s="1535"/>
      <c r="B121" s="1536"/>
      <c r="C121" s="1537"/>
      <c r="D121" s="1543"/>
      <c r="E121" s="1543"/>
      <c r="F121" s="1538"/>
      <c r="G121" s="124"/>
      <c r="M121" s="80"/>
      <c r="N121" s="80"/>
      <c r="O121" s="80"/>
      <c r="Q121" s="125"/>
      <c r="R121" s="80"/>
      <c r="S121" s="80"/>
      <c r="T121" s="80"/>
      <c r="U121" s="80"/>
      <c r="V121" s="80"/>
      <c r="W121" s="80"/>
      <c r="X121" s="80"/>
    </row>
    <row r="122" spans="1:24" ht="35.1" customHeight="1" x14ac:dyDescent="0.25">
      <c r="A122" s="1535"/>
      <c r="B122" s="1536"/>
      <c r="C122" s="1537"/>
      <c r="D122" s="1543"/>
      <c r="E122" s="1543"/>
      <c r="F122" s="1538"/>
      <c r="G122" s="124"/>
      <c r="M122" s="80"/>
      <c r="N122" s="80"/>
      <c r="O122" s="80"/>
      <c r="Q122" s="125"/>
      <c r="R122" s="80"/>
      <c r="S122" s="80"/>
      <c r="T122" s="80"/>
      <c r="U122" s="80"/>
      <c r="V122" s="80"/>
      <c r="W122" s="80"/>
      <c r="X122" s="80"/>
    </row>
    <row r="123" spans="1:24" ht="35.1" customHeight="1" x14ac:dyDescent="0.25">
      <c r="A123" s="1535"/>
      <c r="B123" s="1536"/>
      <c r="C123" s="1537"/>
      <c r="D123" s="1543"/>
      <c r="E123" s="1543"/>
      <c r="F123" s="1538"/>
      <c r="G123" s="124"/>
      <c r="M123" s="80"/>
      <c r="N123" s="80"/>
      <c r="O123" s="80"/>
      <c r="Q123" s="125"/>
      <c r="R123" s="80"/>
      <c r="S123" s="80"/>
      <c r="T123" s="80"/>
      <c r="U123" s="80"/>
      <c r="V123" s="80"/>
      <c r="W123" s="80"/>
      <c r="X123" s="80"/>
    </row>
    <row r="124" spans="1:24" ht="35.1" customHeight="1" x14ac:dyDescent="0.25">
      <c r="A124" s="1535"/>
      <c r="B124" s="1536"/>
      <c r="C124" s="1537"/>
      <c r="D124" s="1543"/>
      <c r="E124" s="1543"/>
      <c r="F124" s="1538"/>
      <c r="G124" s="124"/>
      <c r="M124" s="80"/>
      <c r="N124" s="80"/>
      <c r="O124" s="80"/>
      <c r="Q124" s="125"/>
      <c r="R124" s="80"/>
      <c r="S124" s="80"/>
      <c r="T124" s="80"/>
      <c r="U124" s="80"/>
      <c r="V124" s="80"/>
      <c r="W124" s="80"/>
      <c r="X124" s="80"/>
    </row>
    <row r="125" spans="1:24" ht="35.1" customHeight="1" x14ac:dyDescent="0.25">
      <c r="A125" s="1535"/>
      <c r="B125" s="1536"/>
      <c r="C125" s="1537"/>
      <c r="D125" s="1543"/>
      <c r="E125" s="1543"/>
      <c r="F125" s="1538"/>
      <c r="G125" s="124"/>
      <c r="M125" s="80"/>
      <c r="N125" s="80"/>
      <c r="O125" s="80"/>
      <c r="Q125" s="125"/>
      <c r="R125" s="80"/>
      <c r="S125" s="80"/>
      <c r="T125" s="80"/>
      <c r="U125" s="80"/>
      <c r="V125" s="80"/>
      <c r="W125" s="80"/>
      <c r="X125" s="80"/>
    </row>
    <row r="126" spans="1:24" ht="35.1" customHeight="1" x14ac:dyDescent="0.25">
      <c r="A126" s="1535"/>
      <c r="B126" s="1536"/>
      <c r="C126" s="1537"/>
      <c r="D126" s="1543"/>
      <c r="E126" s="1543"/>
      <c r="F126" s="1538"/>
      <c r="G126" s="124"/>
      <c r="M126" s="80"/>
      <c r="N126" s="80"/>
      <c r="O126" s="80"/>
      <c r="Q126" s="125"/>
      <c r="R126" s="80"/>
      <c r="S126" s="80"/>
      <c r="T126" s="80"/>
      <c r="U126" s="80"/>
      <c r="V126" s="80"/>
      <c r="W126" s="80"/>
      <c r="X126" s="80"/>
    </row>
    <row r="127" spans="1:24" ht="35.1" customHeight="1" x14ac:dyDescent="0.25">
      <c r="A127" s="1535"/>
      <c r="B127" s="1536"/>
      <c r="C127" s="1537"/>
      <c r="D127" s="1543"/>
      <c r="E127" s="1543"/>
      <c r="F127" s="1538"/>
      <c r="G127" s="124"/>
      <c r="M127" s="80"/>
      <c r="N127" s="80"/>
      <c r="O127" s="80"/>
      <c r="Q127" s="125"/>
      <c r="R127" s="80"/>
      <c r="S127" s="80"/>
      <c r="T127" s="80"/>
      <c r="U127" s="80"/>
      <c r="V127" s="80"/>
      <c r="W127" s="80"/>
      <c r="X127" s="80"/>
    </row>
    <row r="128" spans="1:24" ht="35.1" customHeight="1" thickBot="1" x14ac:dyDescent="0.3">
      <c r="A128" s="1547"/>
      <c r="B128" s="1548"/>
      <c r="C128" s="1549"/>
      <c r="D128" s="1550"/>
      <c r="E128" s="1550"/>
      <c r="F128" s="1551"/>
      <c r="G128" s="124"/>
      <c r="M128" s="80"/>
      <c r="N128" s="80"/>
      <c r="O128" s="80"/>
      <c r="Q128" s="125"/>
      <c r="R128" s="80"/>
      <c r="S128" s="80"/>
      <c r="T128" s="80"/>
      <c r="U128" s="80"/>
      <c r="V128" s="80"/>
      <c r="W128" s="80"/>
      <c r="X128" s="80"/>
    </row>
    <row r="129" spans="1:1" ht="20.100000000000001" customHeight="1" x14ac:dyDescent="0.25">
      <c r="A129" s="50"/>
    </row>
    <row r="130" spans="1:1" ht="20.100000000000001" customHeight="1" x14ac:dyDescent="0.25">
      <c r="A130" s="50"/>
    </row>
    <row r="131" spans="1:1" ht="20.100000000000001" customHeight="1" x14ac:dyDescent="0.25">
      <c r="A131" s="50"/>
    </row>
    <row r="132" spans="1:1" ht="20.100000000000001" customHeight="1" x14ac:dyDescent="0.25">
      <c r="A132" s="50"/>
    </row>
    <row r="133" spans="1:1" ht="20.100000000000001" customHeight="1" x14ac:dyDescent="0.25">
      <c r="A133" s="50"/>
    </row>
    <row r="134" spans="1:1" ht="20.100000000000001" customHeight="1" x14ac:dyDescent="0.25">
      <c r="A134" s="50"/>
    </row>
    <row r="135" spans="1:1" ht="20.100000000000001" customHeight="1" x14ac:dyDescent="0.25">
      <c r="A135" s="50"/>
    </row>
    <row r="136" spans="1:1" ht="20.100000000000001" customHeight="1" x14ac:dyDescent="0.25">
      <c r="A136" s="50"/>
    </row>
    <row r="137" spans="1:1" ht="20.100000000000001" customHeight="1" x14ac:dyDescent="0.25">
      <c r="A137" s="50"/>
    </row>
    <row r="138" spans="1:1" ht="20.100000000000001" customHeight="1" x14ac:dyDescent="0.25">
      <c r="A138" s="50"/>
    </row>
    <row r="139" spans="1:1" ht="20.100000000000001" customHeight="1" x14ac:dyDescent="0.25">
      <c r="A139" s="50"/>
    </row>
    <row r="140" spans="1:1" ht="20.100000000000001" customHeight="1" x14ac:dyDescent="0.25">
      <c r="A140" s="50"/>
    </row>
    <row r="141" spans="1:1" ht="20.100000000000001" customHeight="1" x14ac:dyDescent="0.25">
      <c r="A141" s="50"/>
    </row>
    <row r="142" spans="1:1" ht="20.100000000000001" customHeight="1" x14ac:dyDescent="0.25">
      <c r="A142" s="50"/>
    </row>
    <row r="143" spans="1:1" ht="20.100000000000001" customHeight="1" x14ac:dyDescent="0.25">
      <c r="A143" s="50"/>
    </row>
    <row r="144" spans="1:1" ht="20.100000000000001" customHeight="1" x14ac:dyDescent="0.25">
      <c r="A144" s="50"/>
    </row>
    <row r="145" spans="1:1" ht="20.100000000000001" customHeight="1" x14ac:dyDescent="0.25">
      <c r="A145" s="50"/>
    </row>
    <row r="146" spans="1:1" ht="20.100000000000001" customHeight="1" x14ac:dyDescent="0.25">
      <c r="A146" s="50"/>
    </row>
    <row r="147" spans="1:1" ht="20.100000000000001" customHeight="1" x14ac:dyDescent="0.25">
      <c r="A147" s="50"/>
    </row>
    <row r="148" spans="1:1" ht="20.100000000000001" customHeight="1" x14ac:dyDescent="0.25">
      <c r="A148" s="50"/>
    </row>
    <row r="149" spans="1:1" ht="20.100000000000001" customHeight="1" x14ac:dyDescent="0.25">
      <c r="A149" s="50"/>
    </row>
    <row r="150" spans="1:1" ht="20.100000000000001" customHeight="1" x14ac:dyDescent="0.25">
      <c r="A150" s="50"/>
    </row>
    <row r="151" spans="1:1" ht="20.100000000000001" customHeight="1" x14ac:dyDescent="0.25">
      <c r="A151" s="50"/>
    </row>
    <row r="152" spans="1:1" ht="20.100000000000001" customHeight="1" x14ac:dyDescent="0.25">
      <c r="A152" s="50"/>
    </row>
    <row r="153" spans="1:1" ht="20.100000000000001" customHeight="1" x14ac:dyDescent="0.25">
      <c r="A153" s="50"/>
    </row>
    <row r="154" spans="1:1" ht="20.100000000000001" customHeight="1" x14ac:dyDescent="0.25">
      <c r="A154" s="50"/>
    </row>
    <row r="155" spans="1:1" ht="20.100000000000001" customHeight="1" x14ac:dyDescent="0.25">
      <c r="A155" s="50"/>
    </row>
    <row r="156" spans="1:1" ht="20.100000000000001" customHeight="1" x14ac:dyDescent="0.25">
      <c r="A156" s="50"/>
    </row>
    <row r="157" spans="1:1" ht="20.100000000000001" customHeight="1" x14ac:dyDescent="0.25">
      <c r="A157" s="50"/>
    </row>
    <row r="158" spans="1:1" ht="20.100000000000001" customHeight="1" x14ac:dyDescent="0.25">
      <c r="A158" s="50"/>
    </row>
    <row r="159" spans="1:1" ht="20.100000000000001" customHeight="1" x14ac:dyDescent="0.25">
      <c r="A159" s="50"/>
    </row>
    <row r="160" spans="1:1" ht="20.100000000000001" customHeight="1" x14ac:dyDescent="0.25">
      <c r="A160" s="50"/>
    </row>
    <row r="161" spans="1:1" ht="20.100000000000001" customHeight="1" x14ac:dyDescent="0.25">
      <c r="A161" s="50"/>
    </row>
    <row r="162" spans="1:1" ht="20.100000000000001" customHeight="1" x14ac:dyDescent="0.25">
      <c r="A162" s="50"/>
    </row>
    <row r="163" spans="1:1" ht="20.100000000000001" customHeight="1" x14ac:dyDescent="0.25">
      <c r="A163" s="50"/>
    </row>
    <row r="164" spans="1:1" ht="20.100000000000001" customHeight="1" x14ac:dyDescent="0.25">
      <c r="A164" s="50"/>
    </row>
    <row r="165" spans="1:1" ht="20.100000000000001" customHeight="1" x14ac:dyDescent="0.25">
      <c r="A165" s="50"/>
    </row>
    <row r="166" spans="1:1" ht="20.100000000000001" customHeight="1" x14ac:dyDescent="0.25">
      <c r="A166" s="50"/>
    </row>
    <row r="167" spans="1:1" ht="20.100000000000001" customHeight="1" x14ac:dyDescent="0.25">
      <c r="A167" s="50"/>
    </row>
    <row r="168" spans="1:1" ht="20.100000000000001" customHeight="1" x14ac:dyDescent="0.25">
      <c r="A168" s="50"/>
    </row>
    <row r="169" spans="1:1" ht="20.100000000000001" customHeight="1" x14ac:dyDescent="0.25">
      <c r="A169" s="50"/>
    </row>
    <row r="170" spans="1:1" ht="20.100000000000001" customHeight="1" x14ac:dyDescent="0.25">
      <c r="A170" s="50"/>
    </row>
    <row r="171" spans="1:1" ht="20.100000000000001" customHeight="1" x14ac:dyDescent="0.25">
      <c r="A171" s="50"/>
    </row>
    <row r="172" spans="1:1" ht="20.100000000000001" customHeight="1" x14ac:dyDescent="0.25">
      <c r="A172" s="50"/>
    </row>
    <row r="173" spans="1:1" ht="20.100000000000001" customHeight="1" x14ac:dyDescent="0.25">
      <c r="A173" s="50"/>
    </row>
    <row r="174" spans="1:1" ht="20.100000000000001" customHeight="1" x14ac:dyDescent="0.25">
      <c r="A174" s="50"/>
    </row>
    <row r="175" spans="1:1" ht="20.100000000000001" customHeight="1" x14ac:dyDescent="0.25">
      <c r="A175" s="50"/>
    </row>
    <row r="176" spans="1:1" ht="20.100000000000001" customHeight="1" x14ac:dyDescent="0.25">
      <c r="A176" s="50"/>
    </row>
    <row r="177" spans="1:1" ht="20.100000000000001" customHeight="1" x14ac:dyDescent="0.25">
      <c r="A177" s="50"/>
    </row>
    <row r="178" spans="1:1" ht="20.100000000000001" customHeight="1" x14ac:dyDescent="0.25">
      <c r="A178" s="50"/>
    </row>
    <row r="179" spans="1:1" ht="20.100000000000001" customHeight="1" x14ac:dyDescent="0.25">
      <c r="A179" s="50"/>
    </row>
    <row r="180" spans="1:1" ht="20.100000000000001" customHeight="1" x14ac:dyDescent="0.25">
      <c r="A180" s="50"/>
    </row>
    <row r="181" spans="1:1" ht="20.100000000000001" customHeight="1" x14ac:dyDescent="0.25">
      <c r="A181" s="50"/>
    </row>
    <row r="182" spans="1:1" ht="20.100000000000001" customHeight="1" x14ac:dyDescent="0.25">
      <c r="A182" s="50"/>
    </row>
    <row r="183" spans="1:1" ht="20.100000000000001" customHeight="1" x14ac:dyDescent="0.25">
      <c r="A183" s="50"/>
    </row>
    <row r="184" spans="1:1" ht="20.100000000000001" customHeight="1" x14ac:dyDescent="0.25">
      <c r="A184" s="50"/>
    </row>
    <row r="185" spans="1:1" ht="20.100000000000001" customHeight="1" x14ac:dyDescent="0.25">
      <c r="A185" s="50"/>
    </row>
    <row r="186" spans="1:1" ht="20.100000000000001" customHeight="1" x14ac:dyDescent="0.25">
      <c r="A186" s="50"/>
    </row>
    <row r="187" spans="1:1" ht="20.100000000000001" customHeight="1" x14ac:dyDescent="0.25">
      <c r="A187" s="50"/>
    </row>
    <row r="188" spans="1:1" ht="20.100000000000001" customHeight="1" x14ac:dyDescent="0.25">
      <c r="A188" s="50"/>
    </row>
    <row r="189" spans="1:1" ht="20.100000000000001" customHeight="1" x14ac:dyDescent="0.25">
      <c r="A189" s="50"/>
    </row>
  </sheetData>
  <sheetProtection algorithmName="SHA-512" hashValue="hC5Q4fi2ICZwgQrU5stosQ5DBFjvAHmAquuqbSQEGC73ogzmSL1iXTuB3sEFZKb4GrJWbMMe7UNdhwtSPZ4oWw==" saltValue="ypRlkO6Vov5tFjknSIa9Mw==" spinCount="100000" sheet="1" objects="1" scenarios="1"/>
  <mergeCells count="265">
    <mergeCell ref="A127:B127"/>
    <mergeCell ref="C127:F127"/>
    <mergeCell ref="A128:B128"/>
    <mergeCell ref="C128:F128"/>
    <mergeCell ref="A21:E21"/>
    <mergeCell ref="A124:B124"/>
    <mergeCell ref="C124:F124"/>
    <mergeCell ref="A125:B125"/>
    <mergeCell ref="C125:F125"/>
    <mergeCell ref="A126:B126"/>
    <mergeCell ref="C126:F126"/>
    <mergeCell ref="A121:B121"/>
    <mergeCell ref="C121:F121"/>
    <mergeCell ref="A122:B122"/>
    <mergeCell ref="C122:F122"/>
    <mergeCell ref="A123:B123"/>
    <mergeCell ref="C123:F123"/>
    <mergeCell ref="A118:B118"/>
    <mergeCell ref="C118:F118"/>
    <mergeCell ref="A119:B119"/>
    <mergeCell ref="C119:F119"/>
    <mergeCell ref="A120:B120"/>
    <mergeCell ref="C120:F120"/>
    <mergeCell ref="A115:B115"/>
    <mergeCell ref="C115:F115"/>
    <mergeCell ref="A116:B116"/>
    <mergeCell ref="C116:F116"/>
    <mergeCell ref="A117:B117"/>
    <mergeCell ref="C117:F117"/>
    <mergeCell ref="A112:B112"/>
    <mergeCell ref="C112:F112"/>
    <mergeCell ref="A113:B113"/>
    <mergeCell ref="C113:F113"/>
    <mergeCell ref="A114:B114"/>
    <mergeCell ref="C114:F114"/>
    <mergeCell ref="A109:B109"/>
    <mergeCell ref="C109:F109"/>
    <mergeCell ref="A110:B110"/>
    <mergeCell ref="C110:F110"/>
    <mergeCell ref="A111:B111"/>
    <mergeCell ref="C111:F111"/>
    <mergeCell ref="A104:B104"/>
    <mergeCell ref="C104:F104"/>
    <mergeCell ref="A105:B105"/>
    <mergeCell ref="C105:F105"/>
    <mergeCell ref="A106:F106"/>
    <mergeCell ref="A107:B107"/>
    <mergeCell ref="C107:F108"/>
    <mergeCell ref="A108:B108"/>
    <mergeCell ref="A101:B101"/>
    <mergeCell ref="C101:F101"/>
    <mergeCell ref="A102:B102"/>
    <mergeCell ref="C102:F102"/>
    <mergeCell ref="A103:B103"/>
    <mergeCell ref="C103:F103"/>
    <mergeCell ref="A98:B98"/>
    <mergeCell ref="C98:F98"/>
    <mergeCell ref="A99:B99"/>
    <mergeCell ref="C99:F99"/>
    <mergeCell ref="A100:B100"/>
    <mergeCell ref="C100:F100"/>
    <mergeCell ref="A95:B95"/>
    <mergeCell ref="C95:F95"/>
    <mergeCell ref="A96:B96"/>
    <mergeCell ref="C96:F96"/>
    <mergeCell ref="A97:B97"/>
    <mergeCell ref="C97:F97"/>
    <mergeCell ref="A92:B92"/>
    <mergeCell ref="C92:F92"/>
    <mergeCell ref="A93:B93"/>
    <mergeCell ref="C93:F93"/>
    <mergeCell ref="A94:B94"/>
    <mergeCell ref="C94:F94"/>
    <mergeCell ref="A89:B89"/>
    <mergeCell ref="C89:F89"/>
    <mergeCell ref="A90:B90"/>
    <mergeCell ref="C90:F90"/>
    <mergeCell ref="A91:B91"/>
    <mergeCell ref="C91:F91"/>
    <mergeCell ref="A84:F84"/>
    <mergeCell ref="A85:F85"/>
    <mergeCell ref="A86:B86"/>
    <mergeCell ref="C86:F87"/>
    <mergeCell ref="A87:B87"/>
    <mergeCell ref="A88:B88"/>
    <mergeCell ref="C88:F88"/>
    <mergeCell ref="A82:B82"/>
    <mergeCell ref="C82:D82"/>
    <mergeCell ref="E82:F82"/>
    <mergeCell ref="A83:B83"/>
    <mergeCell ref="C83:D83"/>
    <mergeCell ref="E83:F83"/>
    <mergeCell ref="A80:B80"/>
    <mergeCell ref="C80:D80"/>
    <mergeCell ref="E80:F80"/>
    <mergeCell ref="A81:B81"/>
    <mergeCell ref="C81:D81"/>
    <mergeCell ref="E81:F81"/>
    <mergeCell ref="A78:B78"/>
    <mergeCell ref="C78:D78"/>
    <mergeCell ref="E78:F78"/>
    <mergeCell ref="A79:B79"/>
    <mergeCell ref="C79:D79"/>
    <mergeCell ref="E79:F79"/>
    <mergeCell ref="A76:B76"/>
    <mergeCell ref="C76:D76"/>
    <mergeCell ref="E76:F76"/>
    <mergeCell ref="A77:B77"/>
    <mergeCell ref="C77:D77"/>
    <mergeCell ref="E77:F77"/>
    <mergeCell ref="A74:B74"/>
    <mergeCell ref="C74:D74"/>
    <mergeCell ref="E74:F74"/>
    <mergeCell ref="A75:B75"/>
    <mergeCell ref="C75:D75"/>
    <mergeCell ref="E75:F75"/>
    <mergeCell ref="A72:B72"/>
    <mergeCell ref="C72:D72"/>
    <mergeCell ref="E72:F72"/>
    <mergeCell ref="A73:B73"/>
    <mergeCell ref="C73:D73"/>
    <mergeCell ref="E73:F73"/>
    <mergeCell ref="A70:B70"/>
    <mergeCell ref="C70:D70"/>
    <mergeCell ref="E70:F70"/>
    <mergeCell ref="A71:B71"/>
    <mergeCell ref="C71:D71"/>
    <mergeCell ref="E71:F71"/>
    <mergeCell ref="A68:B68"/>
    <mergeCell ref="C68:D68"/>
    <mergeCell ref="E68:F68"/>
    <mergeCell ref="A69:B69"/>
    <mergeCell ref="C69:D69"/>
    <mergeCell ref="E69:F69"/>
    <mergeCell ref="A66:B66"/>
    <mergeCell ref="C66:D66"/>
    <mergeCell ref="E66:F66"/>
    <mergeCell ref="A67:B67"/>
    <mergeCell ref="C67:D67"/>
    <mergeCell ref="E67:F67"/>
    <mergeCell ref="A64:B64"/>
    <mergeCell ref="C64:D64"/>
    <mergeCell ref="E64:F64"/>
    <mergeCell ref="A65:B65"/>
    <mergeCell ref="C65:D65"/>
    <mergeCell ref="E65:F65"/>
    <mergeCell ref="A60:B60"/>
    <mergeCell ref="C60:D60"/>
    <mergeCell ref="E60:F60"/>
    <mergeCell ref="A61:F61"/>
    <mergeCell ref="A62:B62"/>
    <mergeCell ref="C62:D62"/>
    <mergeCell ref="E62:F63"/>
    <mergeCell ref="A63:B63"/>
    <mergeCell ref="C63:D63"/>
    <mergeCell ref="A58:B58"/>
    <mergeCell ref="C58:D58"/>
    <mergeCell ref="E58:F58"/>
    <mergeCell ref="A59:B59"/>
    <mergeCell ref="C59:D59"/>
    <mergeCell ref="E59:F59"/>
    <mergeCell ref="A56:B56"/>
    <mergeCell ref="C56:D56"/>
    <mergeCell ref="E56:F56"/>
    <mergeCell ref="A57:B57"/>
    <mergeCell ref="C57:D57"/>
    <mergeCell ref="E57:F57"/>
    <mergeCell ref="A54:B54"/>
    <mergeCell ref="C54:D54"/>
    <mergeCell ref="E54:F54"/>
    <mergeCell ref="A55:B55"/>
    <mergeCell ref="C55:D55"/>
    <mergeCell ref="E55:F55"/>
    <mergeCell ref="A52:B52"/>
    <mergeCell ref="C52:D52"/>
    <mergeCell ref="E52:F52"/>
    <mergeCell ref="A53:B53"/>
    <mergeCell ref="C53:D53"/>
    <mergeCell ref="E53:F53"/>
    <mergeCell ref="A50:B50"/>
    <mergeCell ref="C50:D50"/>
    <mergeCell ref="E50:F50"/>
    <mergeCell ref="A51:B51"/>
    <mergeCell ref="C51:D51"/>
    <mergeCell ref="E51:F51"/>
    <mergeCell ref="A48:B48"/>
    <mergeCell ref="C48:D48"/>
    <mergeCell ref="E48:F48"/>
    <mergeCell ref="A49:B49"/>
    <mergeCell ref="C49:D49"/>
    <mergeCell ref="E49:F49"/>
    <mergeCell ref="A46:B46"/>
    <mergeCell ref="C46:D46"/>
    <mergeCell ref="E46:F46"/>
    <mergeCell ref="A47:B47"/>
    <mergeCell ref="C47:D47"/>
    <mergeCell ref="E47:F47"/>
    <mergeCell ref="A44:B44"/>
    <mergeCell ref="C44:D44"/>
    <mergeCell ref="E44:F44"/>
    <mergeCell ref="A45:B45"/>
    <mergeCell ref="C45:D45"/>
    <mergeCell ref="E45:F45"/>
    <mergeCell ref="A40:F40"/>
    <mergeCell ref="A41:F41"/>
    <mergeCell ref="G41:K41"/>
    <mergeCell ref="A42:B42"/>
    <mergeCell ref="C42:D42"/>
    <mergeCell ref="E42:F43"/>
    <mergeCell ref="A43:B43"/>
    <mergeCell ref="C43:D43"/>
    <mergeCell ref="A37:C37"/>
    <mergeCell ref="E37:F37"/>
    <mergeCell ref="A38:C38"/>
    <mergeCell ref="E38:F38"/>
    <mergeCell ref="A39:C39"/>
    <mergeCell ref="E39:F39"/>
    <mergeCell ref="A34:C34"/>
    <mergeCell ref="E34:F34"/>
    <mergeCell ref="A35:C35"/>
    <mergeCell ref="E35:F35"/>
    <mergeCell ref="A36:C36"/>
    <mergeCell ref="E36:F36"/>
    <mergeCell ref="A31:C31"/>
    <mergeCell ref="E31:F31"/>
    <mergeCell ref="A32:C32"/>
    <mergeCell ref="E32:F32"/>
    <mergeCell ref="A33:C33"/>
    <mergeCell ref="E33:F33"/>
    <mergeCell ref="A28:C28"/>
    <mergeCell ref="E28:F28"/>
    <mergeCell ref="A29:C29"/>
    <mergeCell ref="E29:F29"/>
    <mergeCell ref="A30:C30"/>
    <mergeCell ref="E30:F30"/>
    <mergeCell ref="A25:C25"/>
    <mergeCell ref="E25:F25"/>
    <mergeCell ref="A26:C26"/>
    <mergeCell ref="E26:F26"/>
    <mergeCell ref="A27:C27"/>
    <mergeCell ref="E27:F27"/>
    <mergeCell ref="A19:L19"/>
    <mergeCell ref="A20:F20"/>
    <mergeCell ref="A22:F22"/>
    <mergeCell ref="A23:F23"/>
    <mergeCell ref="A24:C24"/>
    <mergeCell ref="E24:F24"/>
    <mergeCell ref="B13:L13"/>
    <mergeCell ref="B14:L14"/>
    <mergeCell ref="B15:L15"/>
    <mergeCell ref="B16:L16"/>
    <mergeCell ref="B17:L17"/>
    <mergeCell ref="A18:L18"/>
    <mergeCell ref="A7:L7"/>
    <mergeCell ref="A8:L8"/>
    <mergeCell ref="A9:L9"/>
    <mergeCell ref="B10:L10"/>
    <mergeCell ref="B11:L11"/>
    <mergeCell ref="B12:L12"/>
    <mergeCell ref="A1:L1"/>
    <mergeCell ref="A2:L2"/>
    <mergeCell ref="B3:L3"/>
    <mergeCell ref="B4:L4"/>
    <mergeCell ref="B5:L5"/>
    <mergeCell ref="A6:L6"/>
  </mergeCells>
  <conditionalFormatting sqref="C44:D60">
    <cfRule type="expression" dxfId="34" priority="3">
      <formula>AND(NOT(ISBLANK(A44)),ISBLANK(C44))</formula>
    </cfRule>
  </conditionalFormatting>
  <conditionalFormatting sqref="C64:D83 C109:F128">
    <cfRule type="expression" dxfId="33" priority="5">
      <formula>AND(NOT(ISBLANK(A64)),ISBLANK(C64))</formula>
    </cfRule>
  </conditionalFormatting>
  <conditionalFormatting sqref="C88:F105">
    <cfRule type="expression" dxfId="32" priority="1">
      <formula>AND(NOT(ISBLANK(A88)),ISBLANK(C88))</formula>
    </cfRule>
  </conditionalFormatting>
  <conditionalFormatting sqref="D25:D39">
    <cfRule type="expression" dxfId="31" priority="6">
      <formula>Q25=FALSE</formula>
    </cfRule>
  </conditionalFormatting>
  <conditionalFormatting sqref="E25:E39">
    <cfRule type="expression" dxfId="30" priority="7">
      <formula>AND(Q25=TRUE,ISBLANK(E25))</formula>
    </cfRule>
  </conditionalFormatting>
  <conditionalFormatting sqref="E44:F60">
    <cfRule type="expression" dxfId="29" priority="2">
      <formula>AND(NOT(ISBLANK(A44)),NOT(ISBLANK(C44)),ISBLANK(E44))</formula>
    </cfRule>
  </conditionalFormatting>
  <conditionalFormatting sqref="E64:F83">
    <cfRule type="expression" dxfId="28" priority="4">
      <formula>AND(NOT(ISBLANK(A64)),NOT(ISBLANK(C64)),ISBLANK(E64))</formula>
    </cfRule>
  </conditionalFormatting>
  <hyperlinks>
    <hyperlink ref="A7:L7" r:id="rId1" display="Lincoln-Lancaster County Air Pollution Control Program Regulations &amp; Standards (LLCAPCPRS)" xr:uid="{00000000-0004-0000-1400-000000000000}"/>
    <hyperlink ref="A9:L9" r:id="rId2" display="Title 40, Chapter 4 of the Code of Federal Regulations (40 CFR)" xr:uid="{00000000-0004-0000-1400-000001000000}"/>
  </hyperlinks>
  <printOptions horizontalCentered="1"/>
  <pageMargins left="0.5" right="0.5" top="0.5" bottom="0.5" header="0.3" footer="0.3"/>
  <pageSetup scale="86" fitToHeight="0" orientation="portrait" r:id="rId3"/>
  <headerFooter>
    <oddFooter>&amp;L&amp;A&amp;RPage &amp;P</oddFooter>
  </headerFooter>
  <rowBreaks count="4" manualBreakCount="4">
    <brk id="39" max="5" man="1"/>
    <brk id="60" max="5" man="1"/>
    <brk id="83" max="5" man="1"/>
    <brk id="105"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108545" r:id="rId6" name="Check Box 1">
              <controlPr defaultSize="0" autoFill="0" autoLine="0" autoPict="0">
                <anchor moveWithCells="1">
                  <from>
                    <xdr:col>3</xdr:col>
                    <xdr:colOff>0</xdr:colOff>
                    <xdr:row>24</xdr:row>
                    <xdr:rowOff>19050</xdr:rowOff>
                  </from>
                  <to>
                    <xdr:col>3</xdr:col>
                    <xdr:colOff>781050</xdr:colOff>
                    <xdr:row>24</xdr:row>
                    <xdr:rowOff>228600</xdr:rowOff>
                  </to>
                </anchor>
              </controlPr>
            </control>
          </mc:Choice>
        </mc:AlternateContent>
        <mc:AlternateContent xmlns:mc="http://schemas.openxmlformats.org/markup-compatibility/2006">
          <mc:Choice Requires="x14">
            <control shapeId="108546" r:id="rId7" name="Check Box 2">
              <controlPr defaultSize="0" autoFill="0" autoLine="0" autoPict="0">
                <anchor moveWithCells="1">
                  <from>
                    <xdr:col>3</xdr:col>
                    <xdr:colOff>0</xdr:colOff>
                    <xdr:row>24</xdr:row>
                    <xdr:rowOff>219075</xdr:rowOff>
                  </from>
                  <to>
                    <xdr:col>3</xdr:col>
                    <xdr:colOff>781050</xdr:colOff>
                    <xdr:row>24</xdr:row>
                    <xdr:rowOff>428625</xdr:rowOff>
                  </to>
                </anchor>
              </controlPr>
            </control>
          </mc:Choice>
        </mc:AlternateContent>
        <mc:AlternateContent xmlns:mc="http://schemas.openxmlformats.org/markup-compatibility/2006">
          <mc:Choice Requires="x14">
            <control shapeId="108547" r:id="rId8" name="Check Box 3">
              <controlPr defaultSize="0" autoFill="0" autoLine="0" autoPict="0">
                <anchor moveWithCells="1">
                  <from>
                    <xdr:col>3</xdr:col>
                    <xdr:colOff>0</xdr:colOff>
                    <xdr:row>25</xdr:row>
                    <xdr:rowOff>19050</xdr:rowOff>
                  </from>
                  <to>
                    <xdr:col>3</xdr:col>
                    <xdr:colOff>781050</xdr:colOff>
                    <xdr:row>25</xdr:row>
                    <xdr:rowOff>228600</xdr:rowOff>
                  </to>
                </anchor>
              </controlPr>
            </control>
          </mc:Choice>
        </mc:AlternateContent>
        <mc:AlternateContent xmlns:mc="http://schemas.openxmlformats.org/markup-compatibility/2006">
          <mc:Choice Requires="x14">
            <control shapeId="108548" r:id="rId9" name="Check Box 4">
              <controlPr defaultSize="0" autoFill="0" autoLine="0" autoPict="0">
                <anchor moveWithCells="1">
                  <from>
                    <xdr:col>3</xdr:col>
                    <xdr:colOff>0</xdr:colOff>
                    <xdr:row>25</xdr:row>
                    <xdr:rowOff>219075</xdr:rowOff>
                  </from>
                  <to>
                    <xdr:col>3</xdr:col>
                    <xdr:colOff>781050</xdr:colOff>
                    <xdr:row>25</xdr:row>
                    <xdr:rowOff>428625</xdr:rowOff>
                  </to>
                </anchor>
              </controlPr>
            </control>
          </mc:Choice>
        </mc:AlternateContent>
        <mc:AlternateContent xmlns:mc="http://schemas.openxmlformats.org/markup-compatibility/2006">
          <mc:Choice Requires="x14">
            <control shapeId="108549" r:id="rId10" name="Check Box 5">
              <controlPr defaultSize="0" autoFill="0" autoLine="0" autoPict="0">
                <anchor moveWithCells="1">
                  <from>
                    <xdr:col>3</xdr:col>
                    <xdr:colOff>0</xdr:colOff>
                    <xdr:row>26</xdr:row>
                    <xdr:rowOff>0</xdr:rowOff>
                  </from>
                  <to>
                    <xdr:col>3</xdr:col>
                    <xdr:colOff>781050</xdr:colOff>
                    <xdr:row>26</xdr:row>
                    <xdr:rowOff>209550</xdr:rowOff>
                  </to>
                </anchor>
              </controlPr>
            </control>
          </mc:Choice>
        </mc:AlternateContent>
        <mc:AlternateContent xmlns:mc="http://schemas.openxmlformats.org/markup-compatibility/2006">
          <mc:Choice Requires="x14">
            <control shapeId="108550" r:id="rId11" name="Check Box 6">
              <controlPr defaultSize="0" autoFill="0" autoLine="0" autoPict="0">
                <anchor moveWithCells="1">
                  <from>
                    <xdr:col>3</xdr:col>
                    <xdr:colOff>0</xdr:colOff>
                    <xdr:row>26</xdr:row>
                    <xdr:rowOff>200025</xdr:rowOff>
                  </from>
                  <to>
                    <xdr:col>3</xdr:col>
                    <xdr:colOff>781050</xdr:colOff>
                    <xdr:row>26</xdr:row>
                    <xdr:rowOff>409575</xdr:rowOff>
                  </to>
                </anchor>
              </controlPr>
            </control>
          </mc:Choice>
        </mc:AlternateContent>
        <mc:AlternateContent xmlns:mc="http://schemas.openxmlformats.org/markup-compatibility/2006">
          <mc:Choice Requires="x14">
            <control shapeId="108551" r:id="rId12" name="Check Box 7">
              <controlPr defaultSize="0" autoFill="0" autoLine="0" autoPict="0">
                <anchor moveWithCells="1">
                  <from>
                    <xdr:col>3</xdr:col>
                    <xdr:colOff>0</xdr:colOff>
                    <xdr:row>27</xdr:row>
                    <xdr:rowOff>0</xdr:rowOff>
                  </from>
                  <to>
                    <xdr:col>3</xdr:col>
                    <xdr:colOff>781050</xdr:colOff>
                    <xdr:row>27</xdr:row>
                    <xdr:rowOff>209550</xdr:rowOff>
                  </to>
                </anchor>
              </controlPr>
            </control>
          </mc:Choice>
        </mc:AlternateContent>
        <mc:AlternateContent xmlns:mc="http://schemas.openxmlformats.org/markup-compatibility/2006">
          <mc:Choice Requires="x14">
            <control shapeId="108552" r:id="rId13" name="Check Box 8">
              <controlPr defaultSize="0" autoFill="0" autoLine="0" autoPict="0">
                <anchor moveWithCells="1">
                  <from>
                    <xdr:col>3</xdr:col>
                    <xdr:colOff>0</xdr:colOff>
                    <xdr:row>27</xdr:row>
                    <xdr:rowOff>200025</xdr:rowOff>
                  </from>
                  <to>
                    <xdr:col>3</xdr:col>
                    <xdr:colOff>781050</xdr:colOff>
                    <xdr:row>27</xdr:row>
                    <xdr:rowOff>409575</xdr:rowOff>
                  </to>
                </anchor>
              </controlPr>
            </control>
          </mc:Choice>
        </mc:AlternateContent>
        <mc:AlternateContent xmlns:mc="http://schemas.openxmlformats.org/markup-compatibility/2006">
          <mc:Choice Requires="x14">
            <control shapeId="108553" r:id="rId14" name="Check Box 9">
              <controlPr defaultSize="0" autoFill="0" autoLine="0" autoPict="0">
                <anchor moveWithCells="1">
                  <from>
                    <xdr:col>3</xdr:col>
                    <xdr:colOff>0</xdr:colOff>
                    <xdr:row>28</xdr:row>
                    <xdr:rowOff>0</xdr:rowOff>
                  </from>
                  <to>
                    <xdr:col>3</xdr:col>
                    <xdr:colOff>781050</xdr:colOff>
                    <xdr:row>28</xdr:row>
                    <xdr:rowOff>209550</xdr:rowOff>
                  </to>
                </anchor>
              </controlPr>
            </control>
          </mc:Choice>
        </mc:AlternateContent>
        <mc:AlternateContent xmlns:mc="http://schemas.openxmlformats.org/markup-compatibility/2006">
          <mc:Choice Requires="x14">
            <control shapeId="108554" r:id="rId15" name="Check Box 10">
              <controlPr defaultSize="0" autoFill="0" autoLine="0" autoPict="0">
                <anchor moveWithCells="1">
                  <from>
                    <xdr:col>3</xdr:col>
                    <xdr:colOff>0</xdr:colOff>
                    <xdr:row>28</xdr:row>
                    <xdr:rowOff>200025</xdr:rowOff>
                  </from>
                  <to>
                    <xdr:col>3</xdr:col>
                    <xdr:colOff>781050</xdr:colOff>
                    <xdr:row>28</xdr:row>
                    <xdr:rowOff>409575</xdr:rowOff>
                  </to>
                </anchor>
              </controlPr>
            </control>
          </mc:Choice>
        </mc:AlternateContent>
        <mc:AlternateContent xmlns:mc="http://schemas.openxmlformats.org/markup-compatibility/2006">
          <mc:Choice Requires="x14">
            <control shapeId="108555" r:id="rId16" name="Check Box 11">
              <controlPr defaultSize="0" autoFill="0" autoLine="0" autoPict="0">
                <anchor moveWithCells="1">
                  <from>
                    <xdr:col>3</xdr:col>
                    <xdr:colOff>0</xdr:colOff>
                    <xdr:row>29</xdr:row>
                    <xdr:rowOff>0</xdr:rowOff>
                  </from>
                  <to>
                    <xdr:col>3</xdr:col>
                    <xdr:colOff>781050</xdr:colOff>
                    <xdr:row>29</xdr:row>
                    <xdr:rowOff>209550</xdr:rowOff>
                  </to>
                </anchor>
              </controlPr>
            </control>
          </mc:Choice>
        </mc:AlternateContent>
        <mc:AlternateContent xmlns:mc="http://schemas.openxmlformats.org/markup-compatibility/2006">
          <mc:Choice Requires="x14">
            <control shapeId="108556" r:id="rId17" name="Check Box 12">
              <controlPr defaultSize="0" autoFill="0" autoLine="0" autoPict="0">
                <anchor moveWithCells="1">
                  <from>
                    <xdr:col>3</xdr:col>
                    <xdr:colOff>0</xdr:colOff>
                    <xdr:row>29</xdr:row>
                    <xdr:rowOff>200025</xdr:rowOff>
                  </from>
                  <to>
                    <xdr:col>3</xdr:col>
                    <xdr:colOff>781050</xdr:colOff>
                    <xdr:row>29</xdr:row>
                    <xdr:rowOff>409575</xdr:rowOff>
                  </to>
                </anchor>
              </controlPr>
            </control>
          </mc:Choice>
        </mc:AlternateContent>
        <mc:AlternateContent xmlns:mc="http://schemas.openxmlformats.org/markup-compatibility/2006">
          <mc:Choice Requires="x14">
            <control shapeId="108557" r:id="rId18" name="Check Box 13">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108558" r:id="rId19" name="Check Box 14">
              <controlPr defaultSize="0" autoFill="0" autoLine="0" autoPict="0">
                <anchor moveWithCells="1">
                  <from>
                    <xdr:col>3</xdr:col>
                    <xdr:colOff>0</xdr:colOff>
                    <xdr:row>30</xdr:row>
                    <xdr:rowOff>200025</xdr:rowOff>
                  </from>
                  <to>
                    <xdr:col>3</xdr:col>
                    <xdr:colOff>781050</xdr:colOff>
                    <xdr:row>30</xdr:row>
                    <xdr:rowOff>409575</xdr:rowOff>
                  </to>
                </anchor>
              </controlPr>
            </control>
          </mc:Choice>
        </mc:AlternateContent>
        <mc:AlternateContent xmlns:mc="http://schemas.openxmlformats.org/markup-compatibility/2006">
          <mc:Choice Requires="x14">
            <control shapeId="108559" r:id="rId20" name="Check Box 15">
              <controlPr defaultSize="0" autoFill="0" autoLine="0" autoPict="0">
                <anchor moveWithCells="1">
                  <from>
                    <xdr:col>3</xdr:col>
                    <xdr:colOff>0</xdr:colOff>
                    <xdr:row>31</xdr:row>
                    <xdr:rowOff>0</xdr:rowOff>
                  </from>
                  <to>
                    <xdr:col>3</xdr:col>
                    <xdr:colOff>781050</xdr:colOff>
                    <xdr:row>31</xdr:row>
                    <xdr:rowOff>209550</xdr:rowOff>
                  </to>
                </anchor>
              </controlPr>
            </control>
          </mc:Choice>
        </mc:AlternateContent>
        <mc:AlternateContent xmlns:mc="http://schemas.openxmlformats.org/markup-compatibility/2006">
          <mc:Choice Requires="x14">
            <control shapeId="108560" r:id="rId21" name="Check Box 16">
              <controlPr defaultSize="0" autoFill="0" autoLine="0" autoPict="0">
                <anchor moveWithCells="1">
                  <from>
                    <xdr:col>3</xdr:col>
                    <xdr:colOff>0</xdr:colOff>
                    <xdr:row>31</xdr:row>
                    <xdr:rowOff>200025</xdr:rowOff>
                  </from>
                  <to>
                    <xdr:col>3</xdr:col>
                    <xdr:colOff>781050</xdr:colOff>
                    <xdr:row>31</xdr:row>
                    <xdr:rowOff>409575</xdr:rowOff>
                  </to>
                </anchor>
              </controlPr>
            </control>
          </mc:Choice>
        </mc:AlternateContent>
        <mc:AlternateContent xmlns:mc="http://schemas.openxmlformats.org/markup-compatibility/2006">
          <mc:Choice Requires="x14">
            <control shapeId="108561" r:id="rId22" name="Check Box 17">
              <controlPr defaultSize="0" autoFill="0" autoLine="0" autoPict="0">
                <anchor moveWithCells="1">
                  <from>
                    <xdr:col>3</xdr:col>
                    <xdr:colOff>0</xdr:colOff>
                    <xdr:row>32</xdr:row>
                    <xdr:rowOff>0</xdr:rowOff>
                  </from>
                  <to>
                    <xdr:col>3</xdr:col>
                    <xdr:colOff>781050</xdr:colOff>
                    <xdr:row>32</xdr:row>
                    <xdr:rowOff>209550</xdr:rowOff>
                  </to>
                </anchor>
              </controlPr>
            </control>
          </mc:Choice>
        </mc:AlternateContent>
        <mc:AlternateContent xmlns:mc="http://schemas.openxmlformats.org/markup-compatibility/2006">
          <mc:Choice Requires="x14">
            <control shapeId="108562" r:id="rId23" name="Check Box 18">
              <controlPr defaultSize="0" autoFill="0" autoLine="0" autoPict="0">
                <anchor moveWithCells="1">
                  <from>
                    <xdr:col>3</xdr:col>
                    <xdr:colOff>0</xdr:colOff>
                    <xdr:row>32</xdr:row>
                    <xdr:rowOff>200025</xdr:rowOff>
                  </from>
                  <to>
                    <xdr:col>3</xdr:col>
                    <xdr:colOff>781050</xdr:colOff>
                    <xdr:row>32</xdr:row>
                    <xdr:rowOff>409575</xdr:rowOff>
                  </to>
                </anchor>
              </controlPr>
            </control>
          </mc:Choice>
        </mc:AlternateContent>
        <mc:AlternateContent xmlns:mc="http://schemas.openxmlformats.org/markup-compatibility/2006">
          <mc:Choice Requires="x14">
            <control shapeId="108563" r:id="rId24" name="Check Box 19">
              <controlPr defaultSize="0" autoFill="0" autoLine="0" autoPict="0">
                <anchor moveWithCells="1">
                  <from>
                    <xdr:col>3</xdr:col>
                    <xdr:colOff>0</xdr:colOff>
                    <xdr:row>33</xdr:row>
                    <xdr:rowOff>0</xdr:rowOff>
                  </from>
                  <to>
                    <xdr:col>3</xdr:col>
                    <xdr:colOff>781050</xdr:colOff>
                    <xdr:row>33</xdr:row>
                    <xdr:rowOff>209550</xdr:rowOff>
                  </to>
                </anchor>
              </controlPr>
            </control>
          </mc:Choice>
        </mc:AlternateContent>
        <mc:AlternateContent xmlns:mc="http://schemas.openxmlformats.org/markup-compatibility/2006">
          <mc:Choice Requires="x14">
            <control shapeId="108564" r:id="rId25" name="Check Box 20">
              <controlPr defaultSize="0" autoFill="0" autoLine="0" autoPict="0">
                <anchor moveWithCells="1">
                  <from>
                    <xdr:col>3</xdr:col>
                    <xdr:colOff>0</xdr:colOff>
                    <xdr:row>33</xdr:row>
                    <xdr:rowOff>200025</xdr:rowOff>
                  </from>
                  <to>
                    <xdr:col>3</xdr:col>
                    <xdr:colOff>781050</xdr:colOff>
                    <xdr:row>33</xdr:row>
                    <xdr:rowOff>409575</xdr:rowOff>
                  </to>
                </anchor>
              </controlPr>
            </control>
          </mc:Choice>
        </mc:AlternateContent>
        <mc:AlternateContent xmlns:mc="http://schemas.openxmlformats.org/markup-compatibility/2006">
          <mc:Choice Requires="x14">
            <control shapeId="108565" r:id="rId26" name="Check Box 21">
              <controlPr defaultSize="0" autoFill="0" autoLine="0" autoPict="0">
                <anchor moveWithCells="1">
                  <from>
                    <xdr:col>3</xdr:col>
                    <xdr:colOff>0</xdr:colOff>
                    <xdr:row>34</xdr:row>
                    <xdr:rowOff>0</xdr:rowOff>
                  </from>
                  <to>
                    <xdr:col>3</xdr:col>
                    <xdr:colOff>781050</xdr:colOff>
                    <xdr:row>34</xdr:row>
                    <xdr:rowOff>209550</xdr:rowOff>
                  </to>
                </anchor>
              </controlPr>
            </control>
          </mc:Choice>
        </mc:AlternateContent>
        <mc:AlternateContent xmlns:mc="http://schemas.openxmlformats.org/markup-compatibility/2006">
          <mc:Choice Requires="x14">
            <control shapeId="108566" r:id="rId27" name="Check Box 22">
              <controlPr defaultSize="0" autoFill="0" autoLine="0" autoPict="0">
                <anchor moveWithCells="1">
                  <from>
                    <xdr:col>3</xdr:col>
                    <xdr:colOff>0</xdr:colOff>
                    <xdr:row>34</xdr:row>
                    <xdr:rowOff>200025</xdr:rowOff>
                  </from>
                  <to>
                    <xdr:col>3</xdr:col>
                    <xdr:colOff>781050</xdr:colOff>
                    <xdr:row>34</xdr:row>
                    <xdr:rowOff>409575</xdr:rowOff>
                  </to>
                </anchor>
              </controlPr>
            </control>
          </mc:Choice>
        </mc:AlternateContent>
        <mc:AlternateContent xmlns:mc="http://schemas.openxmlformats.org/markup-compatibility/2006">
          <mc:Choice Requires="x14">
            <control shapeId="108567" r:id="rId28" name="Check Box 23">
              <controlPr defaultSize="0" autoFill="0" autoLine="0" autoPict="0">
                <anchor moveWithCells="1">
                  <from>
                    <xdr:col>3</xdr:col>
                    <xdr:colOff>0</xdr:colOff>
                    <xdr:row>35</xdr:row>
                    <xdr:rowOff>0</xdr:rowOff>
                  </from>
                  <to>
                    <xdr:col>3</xdr:col>
                    <xdr:colOff>781050</xdr:colOff>
                    <xdr:row>35</xdr:row>
                    <xdr:rowOff>209550</xdr:rowOff>
                  </to>
                </anchor>
              </controlPr>
            </control>
          </mc:Choice>
        </mc:AlternateContent>
        <mc:AlternateContent xmlns:mc="http://schemas.openxmlformats.org/markup-compatibility/2006">
          <mc:Choice Requires="x14">
            <control shapeId="108568" r:id="rId29" name="Check Box 24">
              <controlPr defaultSize="0" autoFill="0" autoLine="0" autoPict="0">
                <anchor moveWithCells="1">
                  <from>
                    <xdr:col>3</xdr:col>
                    <xdr:colOff>0</xdr:colOff>
                    <xdr:row>35</xdr:row>
                    <xdr:rowOff>200025</xdr:rowOff>
                  </from>
                  <to>
                    <xdr:col>3</xdr:col>
                    <xdr:colOff>781050</xdr:colOff>
                    <xdr:row>35</xdr:row>
                    <xdr:rowOff>409575</xdr:rowOff>
                  </to>
                </anchor>
              </controlPr>
            </control>
          </mc:Choice>
        </mc:AlternateContent>
        <mc:AlternateContent xmlns:mc="http://schemas.openxmlformats.org/markup-compatibility/2006">
          <mc:Choice Requires="x14">
            <control shapeId="108569" r:id="rId30" name="Check Box 25">
              <controlPr defaultSize="0" autoFill="0" autoLine="0" autoPict="0">
                <anchor moveWithCells="1">
                  <from>
                    <xdr:col>3</xdr:col>
                    <xdr:colOff>0</xdr:colOff>
                    <xdr:row>36</xdr:row>
                    <xdr:rowOff>0</xdr:rowOff>
                  </from>
                  <to>
                    <xdr:col>3</xdr:col>
                    <xdr:colOff>781050</xdr:colOff>
                    <xdr:row>36</xdr:row>
                    <xdr:rowOff>209550</xdr:rowOff>
                  </to>
                </anchor>
              </controlPr>
            </control>
          </mc:Choice>
        </mc:AlternateContent>
        <mc:AlternateContent xmlns:mc="http://schemas.openxmlformats.org/markup-compatibility/2006">
          <mc:Choice Requires="x14">
            <control shapeId="108570" r:id="rId31" name="Check Box 26">
              <controlPr defaultSize="0" autoFill="0" autoLine="0" autoPict="0">
                <anchor moveWithCells="1">
                  <from>
                    <xdr:col>3</xdr:col>
                    <xdr:colOff>0</xdr:colOff>
                    <xdr:row>36</xdr:row>
                    <xdr:rowOff>200025</xdr:rowOff>
                  </from>
                  <to>
                    <xdr:col>3</xdr:col>
                    <xdr:colOff>781050</xdr:colOff>
                    <xdr:row>36</xdr:row>
                    <xdr:rowOff>409575</xdr:rowOff>
                  </to>
                </anchor>
              </controlPr>
            </control>
          </mc:Choice>
        </mc:AlternateContent>
        <mc:AlternateContent xmlns:mc="http://schemas.openxmlformats.org/markup-compatibility/2006">
          <mc:Choice Requires="x14">
            <control shapeId="108571" r:id="rId32" name="Check Box 27">
              <controlPr defaultSize="0" autoFill="0" autoLine="0" autoPict="0">
                <anchor moveWithCells="1">
                  <from>
                    <xdr:col>3</xdr:col>
                    <xdr:colOff>0</xdr:colOff>
                    <xdr:row>37</xdr:row>
                    <xdr:rowOff>0</xdr:rowOff>
                  </from>
                  <to>
                    <xdr:col>3</xdr:col>
                    <xdr:colOff>781050</xdr:colOff>
                    <xdr:row>37</xdr:row>
                    <xdr:rowOff>209550</xdr:rowOff>
                  </to>
                </anchor>
              </controlPr>
            </control>
          </mc:Choice>
        </mc:AlternateContent>
        <mc:AlternateContent xmlns:mc="http://schemas.openxmlformats.org/markup-compatibility/2006">
          <mc:Choice Requires="x14">
            <control shapeId="108572" r:id="rId33" name="Check Box 28">
              <controlPr defaultSize="0" autoFill="0" autoLine="0" autoPict="0">
                <anchor moveWithCells="1">
                  <from>
                    <xdr:col>3</xdr:col>
                    <xdr:colOff>0</xdr:colOff>
                    <xdr:row>37</xdr:row>
                    <xdr:rowOff>200025</xdr:rowOff>
                  </from>
                  <to>
                    <xdr:col>3</xdr:col>
                    <xdr:colOff>781050</xdr:colOff>
                    <xdr:row>37</xdr:row>
                    <xdr:rowOff>409575</xdr:rowOff>
                  </to>
                </anchor>
              </controlPr>
            </control>
          </mc:Choice>
        </mc:AlternateContent>
        <mc:AlternateContent xmlns:mc="http://schemas.openxmlformats.org/markup-compatibility/2006">
          <mc:Choice Requires="x14">
            <control shapeId="108573" r:id="rId34" name="Check Box 29">
              <controlPr defaultSize="0" autoFill="0" autoLine="0" autoPict="0">
                <anchor moveWithCells="1">
                  <from>
                    <xdr:col>3</xdr:col>
                    <xdr:colOff>0</xdr:colOff>
                    <xdr:row>38</xdr:row>
                    <xdr:rowOff>28575</xdr:rowOff>
                  </from>
                  <to>
                    <xdr:col>3</xdr:col>
                    <xdr:colOff>781050</xdr:colOff>
                    <xdr:row>38</xdr:row>
                    <xdr:rowOff>238125</xdr:rowOff>
                  </to>
                </anchor>
              </controlPr>
            </control>
          </mc:Choice>
        </mc:AlternateContent>
        <mc:AlternateContent xmlns:mc="http://schemas.openxmlformats.org/markup-compatibility/2006">
          <mc:Choice Requires="x14">
            <control shapeId="108574" r:id="rId35" name="Check Box 30">
              <controlPr defaultSize="0" autoFill="0" autoLine="0" autoPict="0">
                <anchor moveWithCells="1">
                  <from>
                    <xdr:col>3</xdr:col>
                    <xdr:colOff>0</xdr:colOff>
                    <xdr:row>38</xdr:row>
                    <xdr:rowOff>228600</xdr:rowOff>
                  </from>
                  <to>
                    <xdr:col>3</xdr:col>
                    <xdr:colOff>781050</xdr:colOff>
                    <xdr:row>39</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rgb="FF002060"/>
    <pageSetUpPr fitToPage="1"/>
  </sheetPr>
  <dimension ref="A1:X91"/>
  <sheetViews>
    <sheetView showGridLines="0" zoomScaleNormal="100" workbookViewId="0">
      <selection sqref="A1:K1"/>
    </sheetView>
  </sheetViews>
  <sheetFormatPr defaultRowHeight="20.100000000000001" customHeight="1" x14ac:dyDescent="0.25"/>
  <cols>
    <col min="1" max="1" width="26" style="48" customWidth="1"/>
    <col min="2" max="2" width="16.28515625" style="48" customWidth="1"/>
    <col min="3" max="3" width="22.28515625" style="48" customWidth="1"/>
    <col min="4" max="6" width="16.2851562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255" t="s">
        <v>1814</v>
      </c>
      <c r="B1" s="1255"/>
      <c r="C1" s="1255"/>
      <c r="D1" s="1255"/>
      <c r="E1" s="1255"/>
      <c r="F1" s="1255"/>
      <c r="G1" s="1255"/>
      <c r="H1" s="1255"/>
      <c r="I1" s="1255"/>
      <c r="J1" s="1255"/>
      <c r="K1" s="1255"/>
      <c r="L1" s="79"/>
    </row>
    <row r="2" spans="1:24" s="68" customFormat="1" ht="50.1" customHeight="1" x14ac:dyDescent="0.25">
      <c r="A2" s="1278" t="s">
        <v>1816</v>
      </c>
      <c r="B2" s="1278"/>
      <c r="C2" s="1278"/>
      <c r="D2" s="1278"/>
      <c r="E2" s="1278"/>
      <c r="F2" s="1278"/>
      <c r="G2" s="1278"/>
      <c r="H2" s="1278"/>
      <c r="I2" s="1278"/>
      <c r="J2" s="1278"/>
      <c r="K2" s="1278"/>
    </row>
    <row r="3" spans="1:24" s="68" customFormat="1" ht="20.100000000000001" customHeight="1" x14ac:dyDescent="0.25">
      <c r="A3" s="1278" t="s">
        <v>1817</v>
      </c>
      <c r="B3" s="1278"/>
      <c r="C3" s="1278"/>
      <c r="D3" s="1278"/>
      <c r="E3" s="1278"/>
      <c r="F3" s="1278"/>
      <c r="G3" s="1278"/>
      <c r="H3" s="1278"/>
      <c r="I3" s="1278"/>
      <c r="J3" s="1278"/>
      <c r="K3" s="1278"/>
    </row>
    <row r="4" spans="1:24" s="68" customFormat="1" ht="20.100000000000001" customHeight="1" x14ac:dyDescent="0.25">
      <c r="A4" s="1278" t="s">
        <v>1818</v>
      </c>
      <c r="B4" s="1278"/>
      <c r="C4" s="1278"/>
      <c r="D4" s="1278"/>
      <c r="E4" s="1278"/>
      <c r="F4" s="1278"/>
      <c r="G4" s="1278"/>
      <c r="H4" s="1278"/>
      <c r="I4" s="1278"/>
      <c r="J4" s="1278"/>
      <c r="K4" s="1278"/>
    </row>
    <row r="5" spans="1:24" s="160" customFormat="1" ht="20.100000000000001" customHeight="1" x14ac:dyDescent="0.25">
      <c r="A5" s="1572"/>
      <c r="B5" s="1572"/>
      <c r="C5" s="1572"/>
      <c r="D5" s="1572"/>
      <c r="E5" s="1572"/>
      <c r="F5" s="1572"/>
      <c r="G5" s="1572"/>
      <c r="H5" s="1572"/>
      <c r="I5" s="1572"/>
      <c r="J5" s="1572"/>
      <c r="K5" s="1572"/>
    </row>
    <row r="6" spans="1:24" s="68" customFormat="1" ht="35.1" customHeight="1" thickBot="1" x14ac:dyDescent="0.3">
      <c r="A6" s="1277" t="s">
        <v>1696</v>
      </c>
      <c r="B6" s="1277"/>
      <c r="C6" s="1277"/>
      <c r="D6" s="1277"/>
      <c r="E6" s="1277"/>
      <c r="F6" s="1277"/>
      <c r="G6" s="1277"/>
      <c r="H6" s="1277"/>
      <c r="I6" s="1277"/>
      <c r="J6" s="1277"/>
      <c r="K6" s="1277"/>
      <c r="L6" s="1277"/>
    </row>
    <row r="7" spans="1:24" s="77" customFormat="1" ht="19.5" thickBot="1" x14ac:dyDescent="0.3">
      <c r="A7" s="1211" t="s">
        <v>1688</v>
      </c>
      <c r="B7" s="1211"/>
      <c r="C7" s="1211"/>
      <c r="D7" s="1211"/>
      <c r="E7" s="1211"/>
      <c r="F7" s="1211"/>
      <c r="G7" s="1211"/>
      <c r="H7" s="1211"/>
      <c r="I7" s="1211"/>
      <c r="J7" s="1211"/>
      <c r="K7" s="1211"/>
    </row>
    <row r="8" spans="1:24" ht="60" customHeight="1" x14ac:dyDescent="0.25">
      <c r="A8" s="1151"/>
      <c r="B8" s="1151"/>
      <c r="C8" s="1151"/>
      <c r="D8" s="1151"/>
      <c r="E8" s="1151"/>
      <c r="F8" s="1151"/>
    </row>
    <row r="9" spans="1:24" ht="24.95" customHeight="1" thickBot="1" x14ac:dyDescent="0.3">
      <c r="A9" s="1003" t="s">
        <v>1815</v>
      </c>
      <c r="B9" s="1003"/>
      <c r="C9" s="1003"/>
      <c r="D9" s="1003"/>
      <c r="E9" s="1003"/>
      <c r="F9" s="1003"/>
    </row>
    <row r="10" spans="1:24" ht="30" customHeight="1" thickBot="1" x14ac:dyDescent="0.3">
      <c r="A10" s="984" t="s">
        <v>1681</v>
      </c>
      <c r="B10" s="985"/>
      <c r="C10" s="985"/>
      <c r="D10" s="985"/>
      <c r="E10" s="985"/>
      <c r="F10" s="986"/>
    </row>
    <row r="11" spans="1:24" ht="39.950000000000003" customHeight="1" x14ac:dyDescent="0.25">
      <c r="A11" s="1573" t="s">
        <v>1685</v>
      </c>
      <c r="B11" s="1420"/>
      <c r="C11" s="1420"/>
      <c r="D11" s="1420"/>
      <c r="E11" s="1420"/>
      <c r="F11" s="1421"/>
    </row>
    <row r="12" spans="1:24" ht="50.1" customHeight="1" thickBot="1" x14ac:dyDescent="0.3">
      <c r="A12" s="431" t="s">
        <v>1760</v>
      </c>
      <c r="B12" s="1567" t="str">
        <f>IF(AND(M12=TRUE,P12=TRUE),"Proceed to Application Checklist.",IF(AND(N12=TRUE,P12=TRUE),"In Part B below, list all regulations for which compliance will not be achieved.  In Table 10-A, complete a form for each regulation for which compliance will not be achieved.  When finished, proceed to Application Checklist.",""))</f>
        <v/>
      </c>
      <c r="C12" s="1568"/>
      <c r="D12" s="1568"/>
      <c r="E12" s="1568"/>
      <c r="F12" s="1569"/>
      <c r="G12" s="1570" t="str">
        <f>IF(AND(M12=TRUE,N12=TRUE),"Too many boxes checked.","")</f>
        <v/>
      </c>
      <c r="H12" s="1571"/>
      <c r="I12" s="1571"/>
      <c r="M12" s="81" t="b">
        <v>0</v>
      </c>
      <c r="N12" s="81" t="b">
        <v>0</v>
      </c>
      <c r="P12" s="48" t="b">
        <f>IF(OR(AND(M12=FALSE,N12=TRUE),AND(M12=TRUE,N12=FALSE)),TRUE,FALSE)</f>
        <v>0</v>
      </c>
    </row>
    <row r="13" spans="1:24" ht="30" customHeight="1" thickBot="1" x14ac:dyDescent="0.3">
      <c r="A13" s="984" t="s">
        <v>1686</v>
      </c>
      <c r="B13" s="985"/>
      <c r="C13" s="985"/>
      <c r="D13" s="985"/>
      <c r="E13" s="985"/>
      <c r="F13" s="986"/>
      <c r="M13" s="125"/>
      <c r="N13" s="125"/>
      <c r="O13" s="125"/>
    </row>
    <row r="14" spans="1:24" ht="20.100000000000001" customHeight="1" x14ac:dyDescent="0.25">
      <c r="A14" s="823" t="s">
        <v>1632</v>
      </c>
      <c r="B14" s="1544" t="s">
        <v>1633</v>
      </c>
      <c r="C14" s="1560"/>
      <c r="D14" s="1529" t="s">
        <v>1684</v>
      </c>
      <c r="E14" s="1544"/>
      <c r="F14" s="1530"/>
      <c r="M14" s="125"/>
      <c r="N14" s="125"/>
      <c r="O14" s="125"/>
      <c r="Q14" s="125"/>
      <c r="R14" s="125"/>
    </row>
    <row r="15" spans="1:24" ht="20.100000000000001" customHeight="1" thickBot="1" x14ac:dyDescent="0.3">
      <c r="A15" s="824" t="s">
        <v>1635</v>
      </c>
      <c r="B15" s="1561" t="s">
        <v>1634</v>
      </c>
      <c r="C15" s="1562"/>
      <c r="D15" s="1531"/>
      <c r="E15" s="1545"/>
      <c r="F15" s="1532"/>
      <c r="M15" s="125"/>
      <c r="N15" s="125"/>
      <c r="O15" s="125"/>
      <c r="Q15" s="125"/>
      <c r="R15" s="125"/>
    </row>
    <row r="16" spans="1:24" ht="33" customHeight="1" x14ac:dyDescent="0.25">
      <c r="A16" s="437"/>
      <c r="B16" s="1563"/>
      <c r="C16" s="1564"/>
      <c r="D16" s="1563"/>
      <c r="E16" s="1565"/>
      <c r="F16" s="1566"/>
      <c r="G16" s="124"/>
      <c r="M16" s="80"/>
      <c r="N16" s="80"/>
      <c r="O16" s="80"/>
      <c r="Q16" s="80"/>
      <c r="R16" s="80"/>
      <c r="S16" s="80"/>
      <c r="T16" s="80"/>
      <c r="U16" s="80"/>
      <c r="V16" s="80"/>
      <c r="W16" s="80"/>
      <c r="X16" s="80"/>
    </row>
    <row r="17" spans="1:24" ht="33" customHeight="1" x14ac:dyDescent="0.25">
      <c r="A17" s="438"/>
      <c r="B17" s="1552"/>
      <c r="C17" s="1553"/>
      <c r="D17" s="1552"/>
      <c r="E17" s="1554"/>
      <c r="F17" s="1555"/>
      <c r="G17" s="124"/>
      <c r="M17" s="80"/>
      <c r="N17" s="80"/>
      <c r="O17" s="80"/>
      <c r="Q17" s="80"/>
      <c r="R17" s="80"/>
      <c r="S17" s="80"/>
      <c r="T17" s="80"/>
      <c r="U17" s="80"/>
      <c r="V17" s="80"/>
      <c r="W17" s="80"/>
      <c r="X17" s="80"/>
    </row>
    <row r="18" spans="1:24" ht="33" customHeight="1" x14ac:dyDescent="0.25">
      <c r="A18" s="438"/>
      <c r="B18" s="1552"/>
      <c r="C18" s="1553"/>
      <c r="D18" s="1552"/>
      <c r="E18" s="1554"/>
      <c r="F18" s="1555"/>
      <c r="G18" s="124"/>
      <c r="M18" s="80"/>
      <c r="N18" s="80"/>
      <c r="O18" s="80"/>
      <c r="Q18" s="80"/>
      <c r="R18" s="80"/>
      <c r="S18" s="80"/>
      <c r="T18" s="80"/>
      <c r="U18" s="80"/>
      <c r="V18" s="80"/>
      <c r="W18" s="80"/>
      <c r="X18" s="80"/>
    </row>
    <row r="19" spans="1:24" ht="33" customHeight="1" x14ac:dyDescent="0.25">
      <c r="A19" s="438"/>
      <c r="B19" s="1552"/>
      <c r="C19" s="1553"/>
      <c r="D19" s="1552"/>
      <c r="E19" s="1554"/>
      <c r="F19" s="1555"/>
      <c r="G19" s="124"/>
      <c r="M19" s="80"/>
      <c r="N19" s="80"/>
      <c r="O19" s="80"/>
      <c r="Q19" s="80"/>
      <c r="R19" s="80"/>
      <c r="S19" s="80"/>
      <c r="T19" s="80"/>
      <c r="U19" s="80"/>
      <c r="V19" s="80"/>
      <c r="W19" s="80"/>
      <c r="X19" s="80"/>
    </row>
    <row r="20" spans="1:24" ht="33" customHeight="1" x14ac:dyDescent="0.25">
      <c r="A20" s="438"/>
      <c r="B20" s="1552"/>
      <c r="C20" s="1553"/>
      <c r="D20" s="1552"/>
      <c r="E20" s="1554"/>
      <c r="F20" s="1555"/>
      <c r="G20" s="124"/>
      <c r="M20" s="80"/>
      <c r="N20" s="80"/>
      <c r="O20" s="80"/>
      <c r="Q20" s="80"/>
      <c r="R20" s="80"/>
      <c r="S20" s="80"/>
      <c r="T20" s="80"/>
      <c r="U20" s="80"/>
      <c r="V20" s="80"/>
      <c r="W20" s="80"/>
      <c r="X20" s="80"/>
    </row>
    <row r="21" spans="1:24" ht="33" customHeight="1" x14ac:dyDescent="0.25">
      <c r="A21" s="438"/>
      <c r="B21" s="1552"/>
      <c r="C21" s="1553"/>
      <c r="D21" s="1552"/>
      <c r="E21" s="1554"/>
      <c r="F21" s="1555"/>
      <c r="G21" s="124"/>
      <c r="M21" s="80"/>
      <c r="N21" s="80"/>
      <c r="O21" s="80"/>
      <c r="Q21" s="80"/>
      <c r="R21" s="80"/>
      <c r="S21" s="80"/>
      <c r="T21" s="80"/>
      <c r="U21" s="80"/>
      <c r="V21" s="80"/>
      <c r="W21" s="80"/>
      <c r="X21" s="80"/>
    </row>
    <row r="22" spans="1:24" ht="33" customHeight="1" x14ac:dyDescent="0.25">
      <c r="A22" s="438"/>
      <c r="B22" s="1552"/>
      <c r="C22" s="1553"/>
      <c r="D22" s="1552"/>
      <c r="E22" s="1554"/>
      <c r="F22" s="1555"/>
      <c r="G22" s="124"/>
      <c r="M22" s="80"/>
      <c r="N22" s="80"/>
      <c r="O22" s="80"/>
      <c r="Q22" s="80"/>
      <c r="R22" s="80"/>
      <c r="S22" s="80"/>
      <c r="T22" s="80"/>
      <c r="U22" s="80"/>
      <c r="V22" s="80"/>
      <c r="W22" s="80"/>
      <c r="X22" s="80"/>
    </row>
    <row r="23" spans="1:24" ht="33" customHeight="1" x14ac:dyDescent="0.25">
      <c r="A23" s="438"/>
      <c r="B23" s="1552"/>
      <c r="C23" s="1553"/>
      <c r="D23" s="1552"/>
      <c r="E23" s="1554"/>
      <c r="F23" s="1555"/>
      <c r="G23" s="124"/>
      <c r="M23" s="80"/>
      <c r="N23" s="80"/>
      <c r="O23" s="80"/>
      <c r="Q23" s="80"/>
      <c r="R23" s="80"/>
      <c r="S23" s="80"/>
      <c r="T23" s="80"/>
      <c r="U23" s="80"/>
      <c r="V23" s="80"/>
      <c r="W23" s="80"/>
      <c r="X23" s="80"/>
    </row>
    <row r="24" spans="1:24" ht="33" customHeight="1" x14ac:dyDescent="0.25">
      <c r="A24" s="438"/>
      <c r="B24" s="1552"/>
      <c r="C24" s="1553"/>
      <c r="D24" s="1552"/>
      <c r="E24" s="1554"/>
      <c r="F24" s="1555"/>
      <c r="G24" s="124"/>
      <c r="M24" s="80"/>
      <c r="N24" s="80"/>
      <c r="O24" s="80"/>
      <c r="Q24" s="80"/>
      <c r="R24" s="80"/>
      <c r="S24" s="80"/>
      <c r="T24" s="80"/>
      <c r="U24" s="80"/>
      <c r="V24" s="80"/>
      <c r="W24" s="80"/>
      <c r="X24" s="80"/>
    </row>
    <row r="25" spans="1:24" ht="33" customHeight="1" x14ac:dyDescent="0.25">
      <c r="A25" s="438"/>
      <c r="B25" s="1552"/>
      <c r="C25" s="1553"/>
      <c r="D25" s="1552"/>
      <c r="E25" s="1554"/>
      <c r="F25" s="1555"/>
      <c r="G25" s="124"/>
      <c r="M25" s="80"/>
      <c r="N25" s="80"/>
      <c r="O25" s="80"/>
      <c r="Q25" s="80"/>
      <c r="R25" s="80"/>
      <c r="S25" s="80"/>
      <c r="T25" s="80"/>
      <c r="U25" s="80"/>
      <c r="V25" s="80"/>
      <c r="W25" s="80"/>
      <c r="X25" s="80"/>
    </row>
    <row r="26" spans="1:24" ht="33" customHeight="1" x14ac:dyDescent="0.25">
      <c r="A26" s="438"/>
      <c r="B26" s="1552"/>
      <c r="C26" s="1553"/>
      <c r="D26" s="1552"/>
      <c r="E26" s="1554"/>
      <c r="F26" s="1555"/>
      <c r="G26" s="124"/>
      <c r="M26" s="80"/>
      <c r="N26" s="80"/>
      <c r="O26" s="80"/>
      <c r="Q26" s="80"/>
      <c r="R26" s="80"/>
      <c r="S26" s="80"/>
      <c r="T26" s="80"/>
      <c r="U26" s="80"/>
      <c r="V26" s="80"/>
      <c r="W26" s="80"/>
      <c r="X26" s="80"/>
    </row>
    <row r="27" spans="1:24" ht="33" customHeight="1" x14ac:dyDescent="0.25">
      <c r="A27" s="438"/>
      <c r="B27" s="1552"/>
      <c r="C27" s="1553"/>
      <c r="D27" s="1552"/>
      <c r="E27" s="1554"/>
      <c r="F27" s="1555"/>
      <c r="G27" s="124"/>
      <c r="M27" s="80"/>
      <c r="N27" s="80"/>
      <c r="O27" s="80"/>
      <c r="Q27" s="80"/>
      <c r="R27" s="80"/>
      <c r="S27" s="80"/>
      <c r="T27" s="80"/>
      <c r="U27" s="80"/>
      <c r="V27" s="80"/>
      <c r="W27" s="80"/>
      <c r="X27" s="80"/>
    </row>
    <row r="28" spans="1:24" ht="33" customHeight="1" x14ac:dyDescent="0.25">
      <c r="A28" s="438"/>
      <c r="B28" s="1552"/>
      <c r="C28" s="1553"/>
      <c r="D28" s="1552"/>
      <c r="E28" s="1554"/>
      <c r="F28" s="1555"/>
      <c r="G28" s="124"/>
      <c r="M28" s="80"/>
      <c r="N28" s="80"/>
      <c r="O28" s="80"/>
      <c r="Q28" s="80"/>
      <c r="R28" s="80"/>
      <c r="S28" s="80"/>
      <c r="T28" s="80"/>
      <c r="U28" s="80"/>
      <c r="V28" s="80"/>
      <c r="W28" s="80"/>
      <c r="X28" s="80"/>
    </row>
    <row r="29" spans="1:24" ht="33" customHeight="1" x14ac:dyDescent="0.25">
      <c r="A29" s="438"/>
      <c r="B29" s="1552"/>
      <c r="C29" s="1553"/>
      <c r="D29" s="1552"/>
      <c r="E29" s="1554"/>
      <c r="F29" s="1555"/>
      <c r="G29" s="124"/>
      <c r="M29" s="80"/>
      <c r="N29" s="80"/>
      <c r="O29" s="80"/>
      <c r="Q29" s="80"/>
      <c r="R29" s="80"/>
      <c r="S29" s="80"/>
      <c r="T29" s="80"/>
      <c r="U29" s="80"/>
      <c r="V29" s="80"/>
      <c r="W29" s="80"/>
      <c r="X29" s="80"/>
    </row>
    <row r="30" spans="1:24" ht="33" customHeight="1" thickBot="1" x14ac:dyDescent="0.3">
      <c r="A30" s="439"/>
      <c r="B30" s="1556"/>
      <c r="C30" s="1557"/>
      <c r="D30" s="1556"/>
      <c r="E30" s="1558"/>
      <c r="F30" s="1559"/>
      <c r="G30" s="124"/>
      <c r="M30" s="80"/>
      <c r="N30" s="80"/>
      <c r="O30" s="80"/>
      <c r="Q30" s="80"/>
      <c r="R30" s="80"/>
      <c r="S30" s="80"/>
      <c r="T30" s="80"/>
      <c r="U30" s="80"/>
      <c r="V30" s="80"/>
      <c r="W30" s="80"/>
      <c r="X30" s="80"/>
    </row>
    <row r="31" spans="1:24" ht="20.100000000000001" customHeight="1" x14ac:dyDescent="0.25">
      <c r="A31" s="839"/>
      <c r="B31" s="840"/>
      <c r="C31" s="840"/>
      <c r="D31" s="840"/>
      <c r="E31" s="840"/>
      <c r="F31" s="843" t="str">
        <f>"Ver."&amp;" "&amp;TEXT(Introduction!$M$3,"MM/YYYY")</f>
        <v>Ver. 01/2025</v>
      </c>
    </row>
    <row r="32" spans="1:24"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sheetData>
  <sheetProtection algorithmName="SHA-512" hashValue="x3GVYsmGQYAUZnPxqATJ7l47vOhgg0bkhDQkj7Ny8f+LM8DbU1fbkCxv6iQIkB92xycIRLvuRLhIXUe7U38R9w==" saltValue="FnyeiFVZV+OfbCfLte0CZA==" spinCount="100000" sheet="1" objects="1" scenarios="1"/>
  <mergeCells count="47">
    <mergeCell ref="B12:F12"/>
    <mergeCell ref="G12:I12"/>
    <mergeCell ref="A1:K1"/>
    <mergeCell ref="A2:K2"/>
    <mergeCell ref="A3:K3"/>
    <mergeCell ref="A4:K4"/>
    <mergeCell ref="A5:K5"/>
    <mergeCell ref="A6:L6"/>
    <mergeCell ref="A7:K7"/>
    <mergeCell ref="A8:F8"/>
    <mergeCell ref="A9:F9"/>
    <mergeCell ref="A10:F10"/>
    <mergeCell ref="A11:F11"/>
    <mergeCell ref="A13:F13"/>
    <mergeCell ref="B14:C14"/>
    <mergeCell ref="D14:F15"/>
    <mergeCell ref="B15:C15"/>
    <mergeCell ref="B16:C16"/>
    <mergeCell ref="D16:F16"/>
    <mergeCell ref="B17:C17"/>
    <mergeCell ref="D17:F17"/>
    <mergeCell ref="B18:C18"/>
    <mergeCell ref="D18:F18"/>
    <mergeCell ref="B19:C19"/>
    <mergeCell ref="D19:F19"/>
    <mergeCell ref="B20:C20"/>
    <mergeCell ref="D20:F20"/>
    <mergeCell ref="B21:C21"/>
    <mergeCell ref="D21:F21"/>
    <mergeCell ref="B22:C22"/>
    <mergeCell ref="D22:F22"/>
    <mergeCell ref="B23:C23"/>
    <mergeCell ref="D23:F23"/>
    <mergeCell ref="B24:C24"/>
    <mergeCell ref="D24:F24"/>
    <mergeCell ref="B25:C25"/>
    <mergeCell ref="D25:F25"/>
    <mergeCell ref="B29:C29"/>
    <mergeCell ref="D29:F29"/>
    <mergeCell ref="B30:C30"/>
    <mergeCell ref="D30:F30"/>
    <mergeCell ref="B26:C26"/>
    <mergeCell ref="D26:F26"/>
    <mergeCell ref="B27:C27"/>
    <mergeCell ref="D27:F27"/>
    <mergeCell ref="B28:C28"/>
    <mergeCell ref="D28:F28"/>
  </mergeCells>
  <conditionalFormatting sqref="A12">
    <cfRule type="expression" dxfId="27" priority="3">
      <formula>$P$12=FALSE</formula>
    </cfRule>
  </conditionalFormatting>
  <conditionalFormatting sqref="G12">
    <cfRule type="expression" dxfId="25" priority="2">
      <formula>AND(M12=TRUE,N12=TRUE)</formula>
    </cfRule>
  </conditionalFormatting>
  <printOptions horizontalCentered="1"/>
  <pageMargins left="0.5" right="0.5" top="0.5" bottom="0.5" header="0.3" footer="0.3"/>
  <pageSetup scale="84" fitToHeight="0" orientation="portrait" r:id="rId1"/>
  <headerFooter>
    <oddFooter xml:space="preserve">&amp;L&amp;A&amp;RPage &amp;P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0</xdr:col>
                    <xdr:colOff>561975</xdr:colOff>
                    <xdr:row>11</xdr:row>
                    <xdr:rowOff>161925</xdr:rowOff>
                  </from>
                  <to>
                    <xdr:col>0</xdr:col>
                    <xdr:colOff>1485900</xdr:colOff>
                    <xdr:row>11</xdr:row>
                    <xdr:rowOff>295275</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0</xdr:col>
                    <xdr:colOff>561975</xdr:colOff>
                    <xdr:row>11</xdr:row>
                    <xdr:rowOff>361950</xdr:rowOff>
                  </from>
                  <to>
                    <xdr:col>0</xdr:col>
                    <xdr:colOff>1485900</xdr:colOff>
                    <xdr:row>11</xdr:row>
                    <xdr:rowOff>495300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04" stopIfTrue="1" id="{87B00029-6C1D-42F3-BEC5-540010261EBD}">
            <xm:f>OR(AND($M$11=FALSE,$N$11=TRUE,$Q$11=FALSE,$R$11=TRUE),AND($M$11=TRUE,'Section 6| Source Class'!$M$11=TRUE,'Section 6| Source Class'!$O$11=TRUE),$O$11=TRUE)</xm:f>
            <x14:dxf>
              <fill>
                <patternFill patternType="darkUp"/>
              </fill>
            </x14:dxf>
          </x14:cfRule>
          <xm:sqref>A12</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002060"/>
    <pageSetUpPr fitToPage="1"/>
  </sheetPr>
  <dimension ref="A1:X188"/>
  <sheetViews>
    <sheetView showGridLines="0" zoomScaleNormal="100" workbookViewId="0">
      <selection sqref="A1:K1"/>
    </sheetView>
  </sheetViews>
  <sheetFormatPr defaultRowHeight="20.100000000000001" customHeight="1" x14ac:dyDescent="0.25"/>
  <cols>
    <col min="1" max="2" width="16.7109375" style="48" customWidth="1"/>
    <col min="3" max="5" width="19.28515625" style="48" customWidth="1"/>
    <col min="6" max="6" width="22.710937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255" t="s">
        <v>1819</v>
      </c>
      <c r="B1" s="1255"/>
      <c r="C1" s="1255"/>
      <c r="D1" s="1255"/>
      <c r="E1" s="1255"/>
      <c r="F1" s="1255"/>
      <c r="G1" s="1255"/>
      <c r="H1" s="1255"/>
      <c r="I1" s="1255"/>
      <c r="J1" s="1255"/>
      <c r="K1" s="1255"/>
      <c r="L1" s="79"/>
    </row>
    <row r="2" spans="1:24" s="68" customFormat="1" ht="35.1" customHeight="1" x14ac:dyDescent="0.25">
      <c r="A2" s="1278" t="s">
        <v>1820</v>
      </c>
      <c r="B2" s="1278"/>
      <c r="C2" s="1278"/>
      <c r="D2" s="1278"/>
      <c r="E2" s="1278"/>
      <c r="F2" s="1278"/>
      <c r="G2" s="1278"/>
      <c r="H2" s="1278"/>
      <c r="I2" s="1278"/>
      <c r="J2" s="1278"/>
      <c r="K2" s="1278"/>
    </row>
    <row r="3" spans="1:24" s="68" customFormat="1" ht="35.1" customHeight="1" x14ac:dyDescent="0.25">
      <c r="A3" s="1278" t="s">
        <v>1698</v>
      </c>
      <c r="B3" s="1278"/>
      <c r="C3" s="1278"/>
      <c r="D3" s="1278"/>
      <c r="E3" s="1278"/>
      <c r="F3" s="1278"/>
      <c r="G3" s="1278"/>
      <c r="H3" s="1278"/>
      <c r="I3" s="1278"/>
      <c r="J3" s="1278"/>
      <c r="K3" s="1278"/>
    </row>
    <row r="4" spans="1:24" s="160" customFormat="1" ht="9.9499999999999993" customHeight="1" x14ac:dyDescent="0.25">
      <c r="A4" s="1572"/>
      <c r="B4" s="1572"/>
      <c r="C4" s="1572"/>
      <c r="D4" s="1572"/>
      <c r="E4" s="1572"/>
      <c r="F4" s="1572"/>
      <c r="G4" s="1572"/>
      <c r="H4" s="1572"/>
      <c r="I4" s="1572"/>
      <c r="J4" s="1572"/>
      <c r="K4" s="1572"/>
    </row>
    <row r="5" spans="1:24" s="68" customFormat="1" ht="35.1" customHeight="1" thickBot="1" x14ac:dyDescent="0.3">
      <c r="A5" s="1277" t="s">
        <v>1697</v>
      </c>
      <c r="B5" s="1277"/>
      <c r="C5" s="1277"/>
      <c r="D5" s="1277"/>
      <c r="E5" s="1277"/>
      <c r="F5" s="1277"/>
      <c r="G5" s="1277"/>
      <c r="H5" s="1277"/>
      <c r="I5" s="1277"/>
      <c r="J5" s="1277"/>
      <c r="K5" s="1277"/>
      <c r="L5" s="1277"/>
    </row>
    <row r="6" spans="1:24" s="77" customFormat="1" ht="19.5" thickBot="1" x14ac:dyDescent="0.3">
      <c r="A6" s="1211" t="s">
        <v>1689</v>
      </c>
      <c r="B6" s="1211"/>
      <c r="C6" s="1211"/>
      <c r="D6" s="1211"/>
      <c r="E6" s="1211"/>
      <c r="F6" s="1211"/>
      <c r="G6" s="1211"/>
      <c r="H6" s="1211"/>
      <c r="I6" s="1211"/>
      <c r="J6" s="1211"/>
      <c r="K6" s="1211"/>
    </row>
    <row r="7" spans="1:24" ht="60" customHeight="1" x14ac:dyDescent="0.25">
      <c r="A7" s="1151"/>
      <c r="B7" s="1151"/>
      <c r="C7" s="1151"/>
      <c r="D7" s="1151"/>
      <c r="E7" s="1151"/>
      <c r="F7" s="1151"/>
    </row>
    <row r="8" spans="1:24" ht="24.95" customHeight="1" thickBot="1" x14ac:dyDescent="0.3">
      <c r="A8" s="1003" t="s">
        <v>1821</v>
      </c>
      <c r="B8" s="1003"/>
      <c r="C8" s="1003"/>
      <c r="D8" s="1003"/>
      <c r="E8" s="1003"/>
      <c r="F8" s="843" t="str">
        <f>"Ver."&amp;" "&amp;TEXT(Introduction!$M$3,"MM/YYYY")</f>
        <v>Ver. 01/2025</v>
      </c>
    </row>
    <row r="9" spans="1:24" ht="18" customHeight="1" x14ac:dyDescent="0.25">
      <c r="A9" s="1099" t="s">
        <v>1690</v>
      </c>
      <c r="B9" s="1590"/>
      <c r="C9" s="1591" t="str">
        <f>IF(ISBLANK('Section 9| Compliance Plan'!B16),"",'Section 9| Compliance Plan'!B16)</f>
        <v/>
      </c>
      <c r="D9" s="1592"/>
      <c r="E9" s="1592"/>
      <c r="F9" s="1593"/>
      <c r="G9" s="124"/>
      <c r="M9" s="80"/>
      <c r="N9" s="80"/>
      <c r="O9" s="80"/>
      <c r="Q9" s="80"/>
      <c r="R9" s="80"/>
      <c r="S9" s="80"/>
      <c r="T9" s="80"/>
      <c r="U9" s="80"/>
      <c r="V9" s="80"/>
      <c r="W9" s="80"/>
      <c r="X9" s="80"/>
    </row>
    <row r="10" spans="1:24" ht="18" customHeight="1" x14ac:dyDescent="0.25">
      <c r="A10" s="1105" t="s">
        <v>1691</v>
      </c>
      <c r="B10" s="1576"/>
      <c r="C10" s="1577" t="str">
        <f>IF(ISBLANK('Section 9| Compliance Plan'!A16),"",'Section 9| Compliance Plan'!A16)</f>
        <v/>
      </c>
      <c r="D10" s="1578"/>
      <c r="E10" s="1578"/>
      <c r="F10" s="1579"/>
      <c r="G10" s="124"/>
      <c r="M10" s="80"/>
      <c r="N10" s="80"/>
      <c r="O10" s="80"/>
      <c r="Q10" s="80"/>
      <c r="R10" s="80"/>
      <c r="S10" s="80"/>
      <c r="T10" s="80"/>
      <c r="U10" s="80"/>
      <c r="V10" s="80"/>
      <c r="W10" s="80"/>
      <c r="X10" s="80"/>
    </row>
    <row r="11" spans="1:24" ht="18" customHeight="1" x14ac:dyDescent="0.25">
      <c r="A11" s="1580" t="s">
        <v>1692</v>
      </c>
      <c r="B11" s="1581"/>
      <c r="C11" s="1581"/>
      <c r="D11" s="1581"/>
      <c r="E11" s="1581"/>
      <c r="F11" s="1582"/>
      <c r="G11" s="124"/>
      <c r="M11" s="80"/>
      <c r="N11" s="80"/>
      <c r="O11" s="80"/>
      <c r="Q11" s="80"/>
      <c r="R11" s="80"/>
      <c r="S11" s="80"/>
      <c r="T11" s="80"/>
      <c r="U11" s="80"/>
      <c r="V11" s="80"/>
      <c r="W11" s="80"/>
      <c r="X11" s="80"/>
    </row>
    <row r="12" spans="1:24" ht="65.099999999999994" customHeight="1" x14ac:dyDescent="0.25">
      <c r="A12" s="1583"/>
      <c r="B12" s="1584"/>
      <c r="C12" s="1584"/>
      <c r="D12" s="1584"/>
      <c r="E12" s="1584"/>
      <c r="F12" s="1585"/>
      <c r="G12" s="124"/>
      <c r="M12" s="80"/>
      <c r="N12" s="80"/>
      <c r="O12" s="80"/>
      <c r="Q12" s="80"/>
      <c r="R12" s="80"/>
      <c r="S12" s="80"/>
      <c r="T12" s="80"/>
      <c r="U12" s="80"/>
      <c r="V12" s="80"/>
      <c r="W12" s="80"/>
      <c r="X12" s="80"/>
    </row>
    <row r="13" spans="1:24" ht="18" customHeight="1" x14ac:dyDescent="0.25">
      <c r="A13" s="1580" t="s">
        <v>1693</v>
      </c>
      <c r="B13" s="1581"/>
      <c r="C13" s="1581"/>
      <c r="D13" s="1581"/>
      <c r="E13" s="1581"/>
      <c r="F13" s="1582"/>
      <c r="G13" s="124"/>
      <c r="M13" s="80"/>
      <c r="N13" s="80"/>
      <c r="O13" s="80"/>
      <c r="Q13" s="80"/>
      <c r="R13" s="80"/>
      <c r="S13" s="80"/>
      <c r="T13" s="80"/>
      <c r="U13" s="80"/>
      <c r="V13" s="80"/>
      <c r="W13" s="80"/>
      <c r="X13" s="80"/>
    </row>
    <row r="14" spans="1:24" ht="18" customHeight="1" x14ac:dyDescent="0.25">
      <c r="A14" s="1586" t="s">
        <v>1694</v>
      </c>
      <c r="B14" s="1587"/>
      <c r="C14" s="1587"/>
      <c r="D14" s="1587"/>
      <c r="E14" s="1588"/>
      <c r="F14" s="173" t="s">
        <v>1695</v>
      </c>
      <c r="G14" s="124"/>
      <c r="M14" s="80"/>
      <c r="N14" s="80"/>
      <c r="O14" s="80"/>
      <c r="Q14" s="80"/>
      <c r="R14" s="80"/>
      <c r="S14" s="80"/>
      <c r="T14" s="80"/>
      <c r="U14" s="80"/>
      <c r="V14" s="80"/>
      <c r="W14" s="80"/>
      <c r="X14" s="80"/>
    </row>
    <row r="15" spans="1:24" ht="18" customHeight="1" x14ac:dyDescent="0.25">
      <c r="A15" s="1589"/>
      <c r="B15" s="1565"/>
      <c r="C15" s="1565"/>
      <c r="D15" s="1565"/>
      <c r="E15" s="1564"/>
      <c r="F15" s="170"/>
      <c r="G15" s="124"/>
      <c r="M15" s="80"/>
      <c r="N15" s="80"/>
      <c r="O15" s="80"/>
      <c r="Q15" s="80"/>
      <c r="R15" s="80"/>
      <c r="S15" s="80"/>
      <c r="T15" s="80"/>
      <c r="U15" s="80"/>
      <c r="V15" s="80"/>
      <c r="W15" s="80"/>
      <c r="X15" s="80"/>
    </row>
    <row r="16" spans="1:24" ht="18" customHeight="1" x14ac:dyDescent="0.25">
      <c r="A16" s="1574"/>
      <c r="B16" s="1554"/>
      <c r="C16" s="1554"/>
      <c r="D16" s="1554"/>
      <c r="E16" s="1553"/>
      <c r="F16" s="171"/>
      <c r="G16" s="124"/>
      <c r="M16" s="80"/>
      <c r="N16" s="80"/>
      <c r="O16" s="80"/>
      <c r="Q16" s="80"/>
      <c r="R16" s="80"/>
      <c r="S16" s="80"/>
      <c r="T16" s="80"/>
      <c r="U16" s="80"/>
      <c r="V16" s="80"/>
      <c r="W16" s="80"/>
      <c r="X16" s="80"/>
    </row>
    <row r="17" spans="1:24" ht="18" customHeight="1" x14ac:dyDescent="0.25">
      <c r="A17" s="1574"/>
      <c r="B17" s="1554"/>
      <c r="C17" s="1554"/>
      <c r="D17" s="1554"/>
      <c r="E17" s="1553"/>
      <c r="F17" s="171"/>
      <c r="G17" s="124"/>
      <c r="M17" s="80"/>
      <c r="N17" s="80"/>
      <c r="O17" s="80"/>
      <c r="Q17" s="80"/>
      <c r="R17" s="80"/>
      <c r="S17" s="80"/>
      <c r="T17" s="80"/>
      <c r="U17" s="80"/>
      <c r="V17" s="80"/>
      <c r="W17" s="80"/>
      <c r="X17" s="80"/>
    </row>
    <row r="18" spans="1:24" ht="18" customHeight="1" x14ac:dyDescent="0.25">
      <c r="A18" s="1574"/>
      <c r="B18" s="1554"/>
      <c r="C18" s="1554"/>
      <c r="D18" s="1554"/>
      <c r="E18" s="1553"/>
      <c r="F18" s="171"/>
      <c r="G18" s="124"/>
      <c r="M18" s="80"/>
      <c r="N18" s="80"/>
      <c r="O18" s="80"/>
      <c r="Q18" s="80"/>
      <c r="R18" s="80"/>
      <c r="S18" s="80"/>
      <c r="T18" s="80"/>
      <c r="U18" s="80"/>
      <c r="V18" s="80"/>
      <c r="W18" s="80"/>
      <c r="X18" s="80"/>
    </row>
    <row r="19" spans="1:24" ht="18" customHeight="1" x14ac:dyDescent="0.25">
      <c r="A19" s="1574"/>
      <c r="B19" s="1554"/>
      <c r="C19" s="1554"/>
      <c r="D19" s="1554"/>
      <c r="E19" s="1553"/>
      <c r="F19" s="171"/>
      <c r="G19" s="124"/>
      <c r="M19" s="80"/>
      <c r="N19" s="80"/>
      <c r="O19" s="80"/>
      <c r="Q19" s="80"/>
      <c r="R19" s="80"/>
      <c r="S19" s="80"/>
      <c r="T19" s="80"/>
      <c r="U19" s="80"/>
      <c r="V19" s="80"/>
      <c r="W19" s="80"/>
      <c r="X19" s="80"/>
    </row>
    <row r="20" spans="1:24" ht="18" customHeight="1" thickBot="1" x14ac:dyDescent="0.3">
      <c r="A20" s="1575"/>
      <c r="B20" s="1558"/>
      <c r="C20" s="1558"/>
      <c r="D20" s="1558"/>
      <c r="E20" s="1557"/>
      <c r="F20" s="172"/>
      <c r="G20" s="124"/>
      <c r="M20" s="80"/>
      <c r="N20" s="80"/>
      <c r="O20" s="80"/>
      <c r="Q20" s="80"/>
      <c r="R20" s="80"/>
      <c r="S20" s="80"/>
      <c r="T20" s="80"/>
      <c r="U20" s="80"/>
      <c r="V20" s="80"/>
      <c r="W20" s="80"/>
      <c r="X20" s="80"/>
    </row>
    <row r="21" spans="1:24" ht="18" customHeight="1" x14ac:dyDescent="0.25">
      <c r="A21" s="1099" t="s">
        <v>1690</v>
      </c>
      <c r="B21" s="1590"/>
      <c r="C21" s="1591" t="str">
        <f>IF(ISBLANK('Section 9| Compliance Plan'!B17),"",'Section 9| Compliance Plan'!B17)</f>
        <v/>
      </c>
      <c r="D21" s="1592"/>
      <c r="E21" s="1592"/>
      <c r="F21" s="1593"/>
      <c r="G21" s="124"/>
      <c r="M21" s="80"/>
      <c r="N21" s="80"/>
      <c r="O21" s="80"/>
      <c r="Q21" s="80"/>
      <c r="R21" s="80"/>
      <c r="S21" s="80"/>
      <c r="T21" s="80"/>
      <c r="U21" s="80"/>
      <c r="V21" s="80"/>
      <c r="W21" s="80"/>
      <c r="X21" s="80"/>
    </row>
    <row r="22" spans="1:24" ht="18" customHeight="1" x14ac:dyDescent="0.25">
      <c r="A22" s="1105" t="s">
        <v>1691</v>
      </c>
      <c r="B22" s="1576"/>
      <c r="C22" s="1577" t="str">
        <f>IF(ISBLANK('Section 9| Compliance Plan'!A17),"",'Section 9| Compliance Plan'!A17)</f>
        <v/>
      </c>
      <c r="D22" s="1578"/>
      <c r="E22" s="1578"/>
      <c r="F22" s="1579"/>
      <c r="G22" s="124"/>
      <c r="M22" s="80"/>
      <c r="N22" s="80"/>
      <c r="O22" s="80"/>
      <c r="Q22" s="80"/>
      <c r="R22" s="80"/>
      <c r="S22" s="80"/>
      <c r="T22" s="80"/>
      <c r="U22" s="80"/>
      <c r="V22" s="80"/>
      <c r="W22" s="80"/>
      <c r="X22" s="80"/>
    </row>
    <row r="23" spans="1:24" ht="18" customHeight="1" x14ac:dyDescent="0.25">
      <c r="A23" s="1580" t="s">
        <v>1692</v>
      </c>
      <c r="B23" s="1581"/>
      <c r="C23" s="1581"/>
      <c r="D23" s="1581"/>
      <c r="E23" s="1581"/>
      <c r="F23" s="1582"/>
      <c r="G23" s="124"/>
      <c r="M23" s="80"/>
      <c r="N23" s="80"/>
      <c r="O23" s="80"/>
      <c r="Q23" s="80"/>
      <c r="R23" s="80"/>
      <c r="S23" s="80"/>
      <c r="T23" s="80"/>
      <c r="U23" s="80"/>
      <c r="V23" s="80"/>
      <c r="W23" s="80"/>
      <c r="X23" s="80"/>
    </row>
    <row r="24" spans="1:24" ht="65.099999999999994" customHeight="1" x14ac:dyDescent="0.25">
      <c r="A24" s="1583"/>
      <c r="B24" s="1584"/>
      <c r="C24" s="1584"/>
      <c r="D24" s="1584"/>
      <c r="E24" s="1584"/>
      <c r="F24" s="1585"/>
      <c r="G24" s="124"/>
      <c r="M24" s="80"/>
      <c r="N24" s="80"/>
      <c r="O24" s="80"/>
      <c r="Q24" s="80"/>
      <c r="R24" s="80"/>
      <c r="S24" s="80"/>
      <c r="T24" s="80"/>
      <c r="U24" s="80"/>
      <c r="V24" s="80"/>
      <c r="W24" s="80"/>
      <c r="X24" s="80"/>
    </row>
    <row r="25" spans="1:24" ht="18" customHeight="1" x14ac:dyDescent="0.25">
      <c r="A25" s="1580" t="s">
        <v>1693</v>
      </c>
      <c r="B25" s="1581"/>
      <c r="C25" s="1581"/>
      <c r="D25" s="1581"/>
      <c r="E25" s="1581"/>
      <c r="F25" s="1582"/>
      <c r="G25" s="124"/>
      <c r="M25" s="80"/>
      <c r="N25" s="80"/>
      <c r="O25" s="80"/>
      <c r="Q25" s="80"/>
      <c r="R25" s="80"/>
      <c r="S25" s="80"/>
      <c r="T25" s="80"/>
      <c r="U25" s="80"/>
      <c r="V25" s="80"/>
      <c r="W25" s="80"/>
      <c r="X25" s="80"/>
    </row>
    <row r="26" spans="1:24" ht="18" customHeight="1" x14ac:dyDescent="0.25">
      <c r="A26" s="1586" t="s">
        <v>1694</v>
      </c>
      <c r="B26" s="1587"/>
      <c r="C26" s="1587"/>
      <c r="D26" s="1587"/>
      <c r="E26" s="1588"/>
      <c r="F26" s="173" t="s">
        <v>1695</v>
      </c>
      <c r="G26" s="124"/>
      <c r="M26" s="80"/>
      <c r="N26" s="80"/>
      <c r="O26" s="80"/>
      <c r="Q26" s="80"/>
      <c r="R26" s="80"/>
      <c r="S26" s="80"/>
      <c r="T26" s="80"/>
      <c r="U26" s="80"/>
      <c r="V26" s="80"/>
      <c r="W26" s="80"/>
      <c r="X26" s="80"/>
    </row>
    <row r="27" spans="1:24" ht="18" customHeight="1" x14ac:dyDescent="0.25">
      <c r="A27" s="1589"/>
      <c r="B27" s="1565"/>
      <c r="C27" s="1565"/>
      <c r="D27" s="1565"/>
      <c r="E27" s="1564"/>
      <c r="F27" s="170"/>
      <c r="G27" s="124"/>
      <c r="M27" s="80"/>
      <c r="N27" s="80"/>
      <c r="O27" s="80"/>
      <c r="Q27" s="80"/>
      <c r="R27" s="80"/>
      <c r="S27" s="80"/>
      <c r="T27" s="80"/>
      <c r="U27" s="80"/>
      <c r="V27" s="80"/>
      <c r="W27" s="80"/>
      <c r="X27" s="80"/>
    </row>
    <row r="28" spans="1:24" ht="18" customHeight="1" x14ac:dyDescent="0.25">
      <c r="A28" s="1574"/>
      <c r="B28" s="1554"/>
      <c r="C28" s="1554"/>
      <c r="D28" s="1554"/>
      <c r="E28" s="1553"/>
      <c r="F28" s="171"/>
      <c r="G28" s="124"/>
      <c r="M28" s="80"/>
      <c r="N28" s="80"/>
      <c r="O28" s="80"/>
      <c r="Q28" s="80"/>
      <c r="R28" s="80"/>
      <c r="S28" s="80"/>
      <c r="T28" s="80"/>
      <c r="U28" s="80"/>
      <c r="V28" s="80"/>
      <c r="W28" s="80"/>
      <c r="X28" s="80"/>
    </row>
    <row r="29" spans="1:24" ht="18" customHeight="1" x14ac:dyDescent="0.25">
      <c r="A29" s="1574"/>
      <c r="B29" s="1554"/>
      <c r="C29" s="1554"/>
      <c r="D29" s="1554"/>
      <c r="E29" s="1553"/>
      <c r="F29" s="171"/>
      <c r="G29" s="124"/>
      <c r="M29" s="80"/>
      <c r="N29" s="80"/>
      <c r="O29" s="80"/>
      <c r="Q29" s="80"/>
      <c r="R29" s="80"/>
      <c r="S29" s="80"/>
      <c r="T29" s="80"/>
      <c r="U29" s="80"/>
      <c r="V29" s="80"/>
      <c r="W29" s="80"/>
      <c r="X29" s="80"/>
    </row>
    <row r="30" spans="1:24" ht="18" customHeight="1" x14ac:dyDescent="0.25">
      <c r="A30" s="1574"/>
      <c r="B30" s="1554"/>
      <c r="C30" s="1554"/>
      <c r="D30" s="1554"/>
      <c r="E30" s="1553"/>
      <c r="F30" s="171"/>
      <c r="G30" s="124"/>
      <c r="M30" s="80"/>
      <c r="N30" s="80"/>
      <c r="O30" s="80"/>
      <c r="Q30" s="80"/>
      <c r="R30" s="80"/>
      <c r="S30" s="80"/>
      <c r="T30" s="80"/>
      <c r="U30" s="80"/>
      <c r="V30" s="80"/>
      <c r="W30" s="80"/>
      <c r="X30" s="80"/>
    </row>
    <row r="31" spans="1:24" ht="18" customHeight="1" x14ac:dyDescent="0.25">
      <c r="A31" s="1574"/>
      <c r="B31" s="1554"/>
      <c r="C31" s="1554"/>
      <c r="D31" s="1554"/>
      <c r="E31" s="1553"/>
      <c r="F31" s="171"/>
      <c r="G31" s="124"/>
      <c r="M31" s="80"/>
      <c r="N31" s="80"/>
      <c r="O31" s="80"/>
      <c r="Q31" s="80"/>
      <c r="R31" s="80"/>
      <c r="S31" s="80"/>
      <c r="T31" s="80"/>
      <c r="U31" s="80"/>
      <c r="V31" s="80"/>
      <c r="W31" s="80"/>
      <c r="X31" s="80"/>
    </row>
    <row r="32" spans="1:24" ht="18" customHeight="1" thickBot="1" x14ac:dyDescent="0.3">
      <c r="A32" s="1575"/>
      <c r="B32" s="1558"/>
      <c r="C32" s="1558"/>
      <c r="D32" s="1558"/>
      <c r="E32" s="1557"/>
      <c r="F32" s="172"/>
      <c r="G32" s="124"/>
      <c r="M32" s="80"/>
      <c r="N32" s="80"/>
      <c r="O32" s="80"/>
      <c r="Q32" s="80"/>
      <c r="R32" s="80"/>
      <c r="S32" s="80"/>
      <c r="T32" s="80"/>
      <c r="U32" s="80"/>
      <c r="V32" s="80"/>
      <c r="W32" s="80"/>
      <c r="X32" s="80"/>
    </row>
    <row r="33" spans="1:24" ht="18" customHeight="1" x14ac:dyDescent="0.25">
      <c r="A33" s="1099" t="s">
        <v>1690</v>
      </c>
      <c r="B33" s="1590"/>
      <c r="C33" s="1591" t="str">
        <f>IF(ISBLANK('Section 9| Compliance Plan'!B18),"",'Section 9| Compliance Plan'!B18)</f>
        <v/>
      </c>
      <c r="D33" s="1592"/>
      <c r="E33" s="1592"/>
      <c r="F33" s="1593"/>
      <c r="G33" s="124"/>
      <c r="M33" s="80"/>
      <c r="N33" s="80"/>
      <c r="O33" s="80"/>
      <c r="Q33" s="80"/>
      <c r="R33" s="80"/>
      <c r="S33" s="80"/>
      <c r="T33" s="80"/>
      <c r="U33" s="80"/>
      <c r="V33" s="80"/>
      <c r="W33" s="80"/>
      <c r="X33" s="80"/>
    </row>
    <row r="34" spans="1:24" ht="18" customHeight="1" x14ac:dyDescent="0.25">
      <c r="A34" s="1105" t="s">
        <v>1691</v>
      </c>
      <c r="B34" s="1576"/>
      <c r="C34" s="1577" t="str">
        <f>IF(ISBLANK('Section 9| Compliance Plan'!A18),"",'Section 9| Compliance Plan'!A18)</f>
        <v/>
      </c>
      <c r="D34" s="1578"/>
      <c r="E34" s="1578"/>
      <c r="F34" s="1579"/>
      <c r="G34" s="124"/>
      <c r="M34" s="80"/>
      <c r="N34" s="80"/>
      <c r="O34" s="80"/>
      <c r="Q34" s="80"/>
      <c r="R34" s="80"/>
      <c r="S34" s="80"/>
      <c r="T34" s="80"/>
      <c r="U34" s="80"/>
      <c r="V34" s="80"/>
      <c r="W34" s="80"/>
      <c r="X34" s="80"/>
    </row>
    <row r="35" spans="1:24" ht="18" customHeight="1" x14ac:dyDescent="0.25">
      <c r="A35" s="1580" t="s">
        <v>1692</v>
      </c>
      <c r="B35" s="1581"/>
      <c r="C35" s="1581"/>
      <c r="D35" s="1581"/>
      <c r="E35" s="1581"/>
      <c r="F35" s="1582"/>
      <c r="G35" s="124"/>
      <c r="M35" s="80"/>
      <c r="N35" s="80"/>
      <c r="O35" s="80"/>
      <c r="Q35" s="80"/>
      <c r="R35" s="80"/>
      <c r="S35" s="80"/>
      <c r="T35" s="80"/>
      <c r="U35" s="80"/>
      <c r="V35" s="80"/>
      <c r="W35" s="80"/>
      <c r="X35" s="80"/>
    </row>
    <row r="36" spans="1:24" ht="65.099999999999994" customHeight="1" x14ac:dyDescent="0.25">
      <c r="A36" s="1583"/>
      <c r="B36" s="1584"/>
      <c r="C36" s="1584"/>
      <c r="D36" s="1584"/>
      <c r="E36" s="1584"/>
      <c r="F36" s="1585"/>
      <c r="G36" s="124"/>
      <c r="M36" s="80"/>
      <c r="N36" s="80"/>
      <c r="O36" s="80"/>
      <c r="Q36" s="80"/>
      <c r="R36" s="80"/>
      <c r="S36" s="80"/>
      <c r="T36" s="80"/>
      <c r="U36" s="80"/>
      <c r="V36" s="80"/>
      <c r="W36" s="80"/>
      <c r="X36" s="80"/>
    </row>
    <row r="37" spans="1:24" ht="18" customHeight="1" x14ac:dyDescent="0.25">
      <c r="A37" s="1580" t="s">
        <v>1693</v>
      </c>
      <c r="B37" s="1581"/>
      <c r="C37" s="1581"/>
      <c r="D37" s="1581"/>
      <c r="E37" s="1581"/>
      <c r="F37" s="1582"/>
      <c r="G37" s="124"/>
      <c r="M37" s="80"/>
      <c r="N37" s="80"/>
      <c r="O37" s="80"/>
      <c r="Q37" s="80"/>
      <c r="R37" s="80"/>
      <c r="S37" s="80"/>
      <c r="T37" s="80"/>
      <c r="U37" s="80"/>
      <c r="V37" s="80"/>
      <c r="W37" s="80"/>
      <c r="X37" s="80"/>
    </row>
    <row r="38" spans="1:24" ht="18" customHeight="1" x14ac:dyDescent="0.25">
      <c r="A38" s="1586" t="s">
        <v>1694</v>
      </c>
      <c r="B38" s="1587"/>
      <c r="C38" s="1587"/>
      <c r="D38" s="1587"/>
      <c r="E38" s="1588"/>
      <c r="F38" s="173" t="s">
        <v>1695</v>
      </c>
      <c r="G38" s="124"/>
      <c r="M38" s="80"/>
      <c r="N38" s="80"/>
      <c r="O38" s="80"/>
      <c r="Q38" s="80"/>
      <c r="R38" s="80"/>
      <c r="S38" s="80"/>
      <c r="T38" s="80"/>
      <c r="U38" s="80"/>
      <c r="V38" s="80"/>
      <c r="W38" s="80"/>
      <c r="X38" s="80"/>
    </row>
    <row r="39" spans="1:24" ht="18" customHeight="1" x14ac:dyDescent="0.25">
      <c r="A39" s="1589"/>
      <c r="B39" s="1565"/>
      <c r="C39" s="1565"/>
      <c r="D39" s="1565"/>
      <c r="E39" s="1564"/>
      <c r="F39" s="170"/>
      <c r="G39" s="124"/>
      <c r="M39" s="80"/>
      <c r="N39" s="80"/>
      <c r="O39" s="80"/>
      <c r="Q39" s="80"/>
      <c r="R39" s="80"/>
      <c r="S39" s="80"/>
      <c r="T39" s="80"/>
      <c r="U39" s="80"/>
      <c r="V39" s="80"/>
      <c r="W39" s="80"/>
      <c r="X39" s="80"/>
    </row>
    <row r="40" spans="1:24" ht="18" customHeight="1" x14ac:dyDescent="0.25">
      <c r="A40" s="1574"/>
      <c r="B40" s="1554"/>
      <c r="C40" s="1554"/>
      <c r="D40" s="1554"/>
      <c r="E40" s="1553"/>
      <c r="F40" s="171"/>
      <c r="G40" s="124"/>
      <c r="M40" s="80"/>
      <c r="N40" s="80"/>
      <c r="O40" s="80"/>
      <c r="Q40" s="80"/>
      <c r="R40" s="80"/>
      <c r="S40" s="80"/>
      <c r="T40" s="80"/>
      <c r="U40" s="80"/>
      <c r="V40" s="80"/>
      <c r="W40" s="80"/>
      <c r="X40" s="80"/>
    </row>
    <row r="41" spans="1:24" ht="18" customHeight="1" x14ac:dyDescent="0.25">
      <c r="A41" s="1574"/>
      <c r="B41" s="1554"/>
      <c r="C41" s="1554"/>
      <c r="D41" s="1554"/>
      <c r="E41" s="1553"/>
      <c r="F41" s="171"/>
      <c r="G41" s="124"/>
      <c r="M41" s="80"/>
      <c r="N41" s="80"/>
      <c r="O41" s="80"/>
      <c r="Q41" s="80"/>
      <c r="R41" s="80"/>
      <c r="S41" s="80"/>
      <c r="T41" s="80"/>
      <c r="U41" s="80"/>
      <c r="V41" s="80"/>
      <c r="W41" s="80"/>
      <c r="X41" s="80"/>
    </row>
    <row r="42" spans="1:24" ht="18" customHeight="1" x14ac:dyDescent="0.25">
      <c r="A42" s="1574"/>
      <c r="B42" s="1554"/>
      <c r="C42" s="1554"/>
      <c r="D42" s="1554"/>
      <c r="E42" s="1553"/>
      <c r="F42" s="171"/>
      <c r="G42" s="124"/>
      <c r="M42" s="80"/>
      <c r="N42" s="80"/>
      <c r="O42" s="80"/>
      <c r="Q42" s="80"/>
      <c r="R42" s="80"/>
      <c r="S42" s="80"/>
      <c r="T42" s="80"/>
      <c r="U42" s="80"/>
      <c r="V42" s="80"/>
      <c r="W42" s="80"/>
      <c r="X42" s="80"/>
    </row>
    <row r="43" spans="1:24" ht="18" customHeight="1" x14ac:dyDescent="0.25">
      <c r="A43" s="1574"/>
      <c r="B43" s="1554"/>
      <c r="C43" s="1554"/>
      <c r="D43" s="1554"/>
      <c r="E43" s="1553"/>
      <c r="F43" s="171"/>
      <c r="G43" s="124"/>
      <c r="M43" s="80"/>
      <c r="N43" s="80"/>
      <c r="O43" s="80"/>
      <c r="Q43" s="80"/>
      <c r="R43" s="80"/>
      <c r="S43" s="80"/>
      <c r="T43" s="80"/>
      <c r="U43" s="80"/>
      <c r="V43" s="80"/>
      <c r="W43" s="80"/>
      <c r="X43" s="80"/>
    </row>
    <row r="44" spans="1:24" ht="18" customHeight="1" thickBot="1" x14ac:dyDescent="0.3">
      <c r="A44" s="1575"/>
      <c r="B44" s="1558"/>
      <c r="C44" s="1558"/>
      <c r="D44" s="1558"/>
      <c r="E44" s="1557"/>
      <c r="F44" s="172"/>
      <c r="G44" s="124"/>
      <c r="M44" s="80"/>
      <c r="N44" s="80"/>
      <c r="O44" s="80"/>
      <c r="Q44" s="80"/>
      <c r="R44" s="80"/>
      <c r="S44" s="80"/>
      <c r="T44" s="80"/>
      <c r="U44" s="80"/>
      <c r="V44" s="80"/>
      <c r="W44" s="80"/>
      <c r="X44" s="80"/>
    </row>
    <row r="45" spans="1:24" ht="18" customHeight="1" x14ac:dyDescent="0.25">
      <c r="A45" s="1099" t="s">
        <v>1690</v>
      </c>
      <c r="B45" s="1590"/>
      <c r="C45" s="1591" t="str">
        <f>IF(ISBLANK('Section 9| Compliance Plan'!B19),"",'Section 9| Compliance Plan'!B19)</f>
        <v/>
      </c>
      <c r="D45" s="1592"/>
      <c r="E45" s="1592"/>
      <c r="F45" s="1593"/>
      <c r="G45" s="124"/>
      <c r="M45" s="80"/>
      <c r="N45" s="80"/>
      <c r="O45" s="80"/>
      <c r="Q45" s="80"/>
      <c r="R45" s="80"/>
      <c r="S45" s="80"/>
      <c r="T45" s="80"/>
      <c r="U45" s="80"/>
      <c r="V45" s="80"/>
      <c r="W45" s="80"/>
      <c r="X45" s="80"/>
    </row>
    <row r="46" spans="1:24" ht="18" customHeight="1" x14ac:dyDescent="0.25">
      <c r="A46" s="1105" t="s">
        <v>1691</v>
      </c>
      <c r="B46" s="1576"/>
      <c r="C46" s="1577" t="str">
        <f>IF(ISBLANK('Section 9| Compliance Plan'!A19),"",'Section 9| Compliance Plan'!A19)</f>
        <v/>
      </c>
      <c r="D46" s="1578"/>
      <c r="E46" s="1578"/>
      <c r="F46" s="1579"/>
      <c r="G46" s="124"/>
      <c r="M46" s="80"/>
      <c r="N46" s="80"/>
      <c r="O46" s="80"/>
      <c r="Q46" s="80"/>
      <c r="R46" s="80"/>
      <c r="S46" s="80"/>
      <c r="T46" s="80"/>
      <c r="U46" s="80"/>
      <c r="V46" s="80"/>
      <c r="W46" s="80"/>
      <c r="X46" s="80"/>
    </row>
    <row r="47" spans="1:24" ht="18" customHeight="1" x14ac:dyDescent="0.25">
      <c r="A47" s="1580" t="s">
        <v>1692</v>
      </c>
      <c r="B47" s="1581"/>
      <c r="C47" s="1581"/>
      <c r="D47" s="1581"/>
      <c r="E47" s="1581"/>
      <c r="F47" s="1582"/>
      <c r="G47" s="124"/>
      <c r="M47" s="80"/>
      <c r="N47" s="80"/>
      <c r="O47" s="80"/>
      <c r="Q47" s="80"/>
      <c r="R47" s="80"/>
      <c r="S47" s="80"/>
      <c r="T47" s="80"/>
      <c r="U47" s="80"/>
      <c r="V47" s="80"/>
      <c r="W47" s="80"/>
      <c r="X47" s="80"/>
    </row>
    <row r="48" spans="1:24" ht="65.099999999999994" customHeight="1" x14ac:dyDescent="0.25">
      <c r="A48" s="1583"/>
      <c r="B48" s="1584"/>
      <c r="C48" s="1584"/>
      <c r="D48" s="1584"/>
      <c r="E48" s="1584"/>
      <c r="F48" s="1585"/>
      <c r="G48" s="124"/>
      <c r="M48" s="80"/>
      <c r="N48" s="80"/>
      <c r="O48" s="80"/>
      <c r="Q48" s="80"/>
      <c r="R48" s="80"/>
      <c r="S48" s="80"/>
      <c r="T48" s="80"/>
      <c r="U48" s="80"/>
      <c r="V48" s="80"/>
      <c r="W48" s="80"/>
      <c r="X48" s="80"/>
    </row>
    <row r="49" spans="1:24" ht="18" customHeight="1" x14ac:dyDescent="0.25">
      <c r="A49" s="1580" t="s">
        <v>1693</v>
      </c>
      <c r="B49" s="1581"/>
      <c r="C49" s="1581"/>
      <c r="D49" s="1581"/>
      <c r="E49" s="1581"/>
      <c r="F49" s="1582"/>
      <c r="G49" s="124"/>
      <c r="M49" s="80"/>
      <c r="N49" s="80"/>
      <c r="O49" s="80"/>
      <c r="Q49" s="80"/>
      <c r="R49" s="80"/>
      <c r="S49" s="80"/>
      <c r="T49" s="80"/>
      <c r="U49" s="80"/>
      <c r="V49" s="80"/>
      <c r="W49" s="80"/>
      <c r="X49" s="80"/>
    </row>
    <row r="50" spans="1:24" ht="18" customHeight="1" x14ac:dyDescent="0.25">
      <c r="A50" s="1586" t="s">
        <v>1694</v>
      </c>
      <c r="B50" s="1587"/>
      <c r="C50" s="1587"/>
      <c r="D50" s="1587"/>
      <c r="E50" s="1588"/>
      <c r="F50" s="173" t="s">
        <v>1695</v>
      </c>
      <c r="G50" s="124"/>
      <c r="M50" s="80"/>
      <c r="N50" s="80"/>
      <c r="O50" s="80"/>
      <c r="Q50" s="80"/>
      <c r="R50" s="80"/>
      <c r="S50" s="80"/>
      <c r="T50" s="80"/>
      <c r="U50" s="80"/>
      <c r="V50" s="80"/>
      <c r="W50" s="80"/>
      <c r="X50" s="80"/>
    </row>
    <row r="51" spans="1:24" ht="18" customHeight="1" x14ac:dyDescent="0.25">
      <c r="A51" s="1589"/>
      <c r="B51" s="1565"/>
      <c r="C51" s="1565"/>
      <c r="D51" s="1565"/>
      <c r="E51" s="1564"/>
      <c r="F51" s="170"/>
      <c r="G51" s="124"/>
      <c r="M51" s="80"/>
      <c r="N51" s="80"/>
      <c r="O51" s="80"/>
      <c r="Q51" s="80"/>
      <c r="R51" s="80"/>
      <c r="S51" s="80"/>
      <c r="T51" s="80"/>
      <c r="U51" s="80"/>
      <c r="V51" s="80"/>
      <c r="W51" s="80"/>
      <c r="X51" s="80"/>
    </row>
    <row r="52" spans="1:24" ht="18" customHeight="1" x14ac:dyDescent="0.25">
      <c r="A52" s="1574"/>
      <c r="B52" s="1554"/>
      <c r="C52" s="1554"/>
      <c r="D52" s="1554"/>
      <c r="E52" s="1553"/>
      <c r="F52" s="171"/>
      <c r="G52" s="124"/>
      <c r="M52" s="80"/>
      <c r="N52" s="80"/>
      <c r="O52" s="80"/>
      <c r="Q52" s="80"/>
      <c r="R52" s="80"/>
      <c r="S52" s="80"/>
      <c r="T52" s="80"/>
      <c r="U52" s="80"/>
      <c r="V52" s="80"/>
      <c r="W52" s="80"/>
      <c r="X52" s="80"/>
    </row>
    <row r="53" spans="1:24" ht="18" customHeight="1" x14ac:dyDescent="0.25">
      <c r="A53" s="1574"/>
      <c r="B53" s="1554"/>
      <c r="C53" s="1554"/>
      <c r="D53" s="1554"/>
      <c r="E53" s="1553"/>
      <c r="F53" s="171"/>
      <c r="G53" s="124"/>
      <c r="M53" s="80"/>
      <c r="N53" s="80"/>
      <c r="O53" s="80"/>
      <c r="Q53" s="80"/>
      <c r="R53" s="80"/>
      <c r="S53" s="80"/>
      <c r="T53" s="80"/>
      <c r="U53" s="80"/>
      <c r="V53" s="80"/>
      <c r="W53" s="80"/>
      <c r="X53" s="80"/>
    </row>
    <row r="54" spans="1:24" ht="18" customHeight="1" x14ac:dyDescent="0.25">
      <c r="A54" s="1574"/>
      <c r="B54" s="1554"/>
      <c r="C54" s="1554"/>
      <c r="D54" s="1554"/>
      <c r="E54" s="1553"/>
      <c r="F54" s="171"/>
      <c r="G54" s="124"/>
      <c r="M54" s="80"/>
      <c r="N54" s="80"/>
      <c r="O54" s="80"/>
      <c r="Q54" s="80"/>
      <c r="R54" s="80"/>
      <c r="S54" s="80"/>
      <c r="T54" s="80"/>
      <c r="U54" s="80"/>
      <c r="V54" s="80"/>
      <c r="W54" s="80"/>
      <c r="X54" s="80"/>
    </row>
    <row r="55" spans="1:24" ht="18" customHeight="1" x14ac:dyDescent="0.25">
      <c r="A55" s="1574"/>
      <c r="B55" s="1554"/>
      <c r="C55" s="1554"/>
      <c r="D55" s="1554"/>
      <c r="E55" s="1553"/>
      <c r="F55" s="171"/>
      <c r="G55" s="124"/>
      <c r="M55" s="80"/>
      <c r="N55" s="80"/>
      <c r="O55" s="80"/>
      <c r="Q55" s="80"/>
      <c r="R55" s="80"/>
      <c r="S55" s="80"/>
      <c r="T55" s="80"/>
      <c r="U55" s="80"/>
      <c r="V55" s="80"/>
      <c r="W55" s="80"/>
      <c r="X55" s="80"/>
    </row>
    <row r="56" spans="1:24" ht="18" customHeight="1" thickBot="1" x14ac:dyDescent="0.3">
      <c r="A56" s="1575"/>
      <c r="B56" s="1558"/>
      <c r="C56" s="1558"/>
      <c r="D56" s="1558"/>
      <c r="E56" s="1557"/>
      <c r="F56" s="172"/>
      <c r="G56" s="124"/>
      <c r="M56" s="80"/>
      <c r="N56" s="80"/>
      <c r="O56" s="80"/>
      <c r="Q56" s="80"/>
      <c r="R56" s="80"/>
      <c r="S56" s="80"/>
      <c r="T56" s="80"/>
      <c r="U56" s="80"/>
      <c r="V56" s="80"/>
      <c r="W56" s="80"/>
      <c r="X56" s="80"/>
    </row>
    <row r="57" spans="1:24" ht="18" customHeight="1" x14ac:dyDescent="0.25">
      <c r="A57" s="1099" t="s">
        <v>1690</v>
      </c>
      <c r="B57" s="1590"/>
      <c r="C57" s="1591" t="str">
        <f>IF(ISBLANK('Section 9| Compliance Plan'!B20),"",'Section 9| Compliance Plan'!B20)</f>
        <v/>
      </c>
      <c r="D57" s="1592"/>
      <c r="E57" s="1592"/>
      <c r="F57" s="1593"/>
      <c r="G57" s="124"/>
      <c r="M57" s="80"/>
      <c r="N57" s="80"/>
      <c r="O57" s="80"/>
      <c r="Q57" s="80"/>
      <c r="R57" s="80"/>
      <c r="S57" s="80"/>
      <c r="T57" s="80"/>
      <c r="U57" s="80"/>
      <c r="V57" s="80"/>
      <c r="W57" s="80"/>
      <c r="X57" s="80"/>
    </row>
    <row r="58" spans="1:24" ht="18" customHeight="1" x14ac:dyDescent="0.25">
      <c r="A58" s="1105" t="s">
        <v>1691</v>
      </c>
      <c r="B58" s="1576"/>
      <c r="C58" s="1577" t="str">
        <f>IF(ISBLANK('Section 9| Compliance Plan'!A20),"",'Section 9| Compliance Plan'!A20)</f>
        <v/>
      </c>
      <c r="D58" s="1578"/>
      <c r="E58" s="1578"/>
      <c r="F58" s="1579"/>
      <c r="G58" s="124"/>
      <c r="M58" s="80"/>
      <c r="N58" s="80"/>
      <c r="O58" s="80"/>
      <c r="Q58" s="80"/>
      <c r="R58" s="80"/>
      <c r="S58" s="80"/>
      <c r="T58" s="80"/>
      <c r="U58" s="80"/>
      <c r="V58" s="80"/>
      <c r="W58" s="80"/>
      <c r="X58" s="80"/>
    </row>
    <row r="59" spans="1:24" ht="18" customHeight="1" x14ac:dyDescent="0.25">
      <c r="A59" s="1580" t="s">
        <v>1692</v>
      </c>
      <c r="B59" s="1581"/>
      <c r="C59" s="1581"/>
      <c r="D59" s="1581"/>
      <c r="E59" s="1581"/>
      <c r="F59" s="1582"/>
      <c r="G59" s="124"/>
      <c r="M59" s="80"/>
      <c r="N59" s="80"/>
      <c r="O59" s="80"/>
      <c r="Q59" s="80"/>
      <c r="R59" s="80"/>
      <c r="S59" s="80"/>
      <c r="T59" s="80"/>
      <c r="U59" s="80"/>
      <c r="V59" s="80"/>
      <c r="W59" s="80"/>
      <c r="X59" s="80"/>
    </row>
    <row r="60" spans="1:24" ht="65.099999999999994" customHeight="1" x14ac:dyDescent="0.25">
      <c r="A60" s="1583"/>
      <c r="B60" s="1584"/>
      <c r="C60" s="1584"/>
      <c r="D60" s="1584"/>
      <c r="E60" s="1584"/>
      <c r="F60" s="1585"/>
      <c r="G60" s="124"/>
      <c r="M60" s="80"/>
      <c r="N60" s="80"/>
      <c r="O60" s="80"/>
      <c r="Q60" s="80"/>
      <c r="R60" s="80"/>
      <c r="S60" s="80"/>
      <c r="T60" s="80"/>
      <c r="U60" s="80"/>
      <c r="V60" s="80"/>
      <c r="W60" s="80"/>
      <c r="X60" s="80"/>
    </row>
    <row r="61" spans="1:24" ht="18" customHeight="1" x14ac:dyDescent="0.25">
      <c r="A61" s="1580" t="s">
        <v>1693</v>
      </c>
      <c r="B61" s="1581"/>
      <c r="C61" s="1581"/>
      <c r="D61" s="1581"/>
      <c r="E61" s="1581"/>
      <c r="F61" s="1582"/>
      <c r="G61" s="124"/>
      <c r="M61" s="80"/>
      <c r="N61" s="80"/>
      <c r="O61" s="80"/>
      <c r="Q61" s="80"/>
      <c r="R61" s="80"/>
      <c r="S61" s="80"/>
      <c r="T61" s="80"/>
      <c r="U61" s="80"/>
      <c r="V61" s="80"/>
      <c r="W61" s="80"/>
      <c r="X61" s="80"/>
    </row>
    <row r="62" spans="1:24" ht="18" customHeight="1" x14ac:dyDescent="0.25">
      <c r="A62" s="1586" t="s">
        <v>1694</v>
      </c>
      <c r="B62" s="1587"/>
      <c r="C62" s="1587"/>
      <c r="D62" s="1587"/>
      <c r="E62" s="1588"/>
      <c r="F62" s="173" t="s">
        <v>1695</v>
      </c>
      <c r="G62" s="124"/>
      <c r="M62" s="80"/>
      <c r="N62" s="80"/>
      <c r="O62" s="80"/>
      <c r="Q62" s="80"/>
      <c r="R62" s="80"/>
      <c r="S62" s="80"/>
      <c r="T62" s="80"/>
      <c r="U62" s="80"/>
      <c r="V62" s="80"/>
      <c r="W62" s="80"/>
      <c r="X62" s="80"/>
    </row>
    <row r="63" spans="1:24" ht="18" customHeight="1" x14ac:dyDescent="0.25">
      <c r="A63" s="1589"/>
      <c r="B63" s="1565"/>
      <c r="C63" s="1565"/>
      <c r="D63" s="1565"/>
      <c r="E63" s="1564"/>
      <c r="F63" s="170"/>
      <c r="G63" s="124"/>
      <c r="M63" s="80"/>
      <c r="N63" s="80"/>
      <c r="O63" s="80"/>
      <c r="Q63" s="80"/>
      <c r="R63" s="80"/>
      <c r="S63" s="80"/>
      <c r="T63" s="80"/>
      <c r="U63" s="80"/>
      <c r="V63" s="80"/>
      <c r="W63" s="80"/>
      <c r="X63" s="80"/>
    </row>
    <row r="64" spans="1:24" ht="18" customHeight="1" x14ac:dyDescent="0.25">
      <c r="A64" s="1574"/>
      <c r="B64" s="1554"/>
      <c r="C64" s="1554"/>
      <c r="D64" s="1554"/>
      <c r="E64" s="1553"/>
      <c r="F64" s="171"/>
      <c r="G64" s="124"/>
      <c r="M64" s="80"/>
      <c r="N64" s="80"/>
      <c r="O64" s="80"/>
      <c r="Q64" s="80"/>
      <c r="R64" s="80"/>
      <c r="S64" s="80"/>
      <c r="T64" s="80"/>
      <c r="U64" s="80"/>
      <c r="V64" s="80"/>
      <c r="W64" s="80"/>
      <c r="X64" s="80"/>
    </row>
    <row r="65" spans="1:24" ht="18" customHeight="1" x14ac:dyDescent="0.25">
      <c r="A65" s="1574"/>
      <c r="B65" s="1554"/>
      <c r="C65" s="1554"/>
      <c r="D65" s="1554"/>
      <c r="E65" s="1553"/>
      <c r="F65" s="171"/>
      <c r="G65" s="124"/>
      <c r="M65" s="80"/>
      <c r="N65" s="80"/>
      <c r="O65" s="80"/>
      <c r="Q65" s="80"/>
      <c r="R65" s="80"/>
      <c r="S65" s="80"/>
      <c r="T65" s="80"/>
      <c r="U65" s="80"/>
      <c r="V65" s="80"/>
      <c r="W65" s="80"/>
      <c r="X65" s="80"/>
    </row>
    <row r="66" spans="1:24" ht="18" customHeight="1" x14ac:dyDescent="0.25">
      <c r="A66" s="1574"/>
      <c r="B66" s="1554"/>
      <c r="C66" s="1554"/>
      <c r="D66" s="1554"/>
      <c r="E66" s="1553"/>
      <c r="F66" s="171"/>
      <c r="G66" s="124"/>
      <c r="M66" s="80"/>
      <c r="N66" s="80"/>
      <c r="O66" s="80"/>
      <c r="Q66" s="80"/>
      <c r="R66" s="80"/>
      <c r="S66" s="80"/>
      <c r="T66" s="80"/>
      <c r="U66" s="80"/>
      <c r="V66" s="80"/>
      <c r="W66" s="80"/>
      <c r="X66" s="80"/>
    </row>
    <row r="67" spans="1:24" ht="18" customHeight="1" x14ac:dyDescent="0.25">
      <c r="A67" s="1574"/>
      <c r="B67" s="1554"/>
      <c r="C67" s="1554"/>
      <c r="D67" s="1554"/>
      <c r="E67" s="1553"/>
      <c r="F67" s="171"/>
      <c r="G67" s="124"/>
      <c r="M67" s="80"/>
      <c r="N67" s="80"/>
      <c r="O67" s="80"/>
      <c r="Q67" s="80"/>
      <c r="R67" s="80"/>
      <c r="S67" s="80"/>
      <c r="T67" s="80"/>
      <c r="U67" s="80"/>
      <c r="V67" s="80"/>
      <c r="W67" s="80"/>
      <c r="X67" s="80"/>
    </row>
    <row r="68" spans="1:24" ht="18" customHeight="1" thickBot="1" x14ac:dyDescent="0.3">
      <c r="A68" s="1575"/>
      <c r="B68" s="1558"/>
      <c r="C68" s="1558"/>
      <c r="D68" s="1558"/>
      <c r="E68" s="1557"/>
      <c r="F68" s="172"/>
      <c r="G68" s="124"/>
      <c r="M68" s="80"/>
      <c r="N68" s="80"/>
      <c r="O68" s="80"/>
      <c r="Q68" s="80"/>
      <c r="R68" s="80"/>
      <c r="S68" s="80"/>
      <c r="T68" s="80"/>
      <c r="U68" s="80"/>
      <c r="V68" s="80"/>
      <c r="W68" s="80"/>
      <c r="X68" s="80"/>
    </row>
    <row r="69" spans="1:24" ht="18" customHeight="1" x14ac:dyDescent="0.25">
      <c r="A69" s="1099" t="s">
        <v>1690</v>
      </c>
      <c r="B69" s="1590"/>
      <c r="C69" s="1591" t="str">
        <f>IF(ISBLANK('Section 9| Compliance Plan'!B21),"",'Section 9| Compliance Plan'!B21)</f>
        <v/>
      </c>
      <c r="D69" s="1592"/>
      <c r="E69" s="1592"/>
      <c r="F69" s="1593"/>
      <c r="G69" s="124"/>
      <c r="M69" s="80"/>
      <c r="N69" s="80"/>
      <c r="O69" s="80"/>
      <c r="Q69" s="80"/>
      <c r="R69" s="80"/>
      <c r="S69" s="80"/>
      <c r="T69" s="80"/>
      <c r="U69" s="80"/>
      <c r="V69" s="80"/>
      <c r="W69" s="80"/>
      <c r="X69" s="80"/>
    </row>
    <row r="70" spans="1:24" ht="18" customHeight="1" x14ac:dyDescent="0.25">
      <c r="A70" s="1105" t="s">
        <v>1691</v>
      </c>
      <c r="B70" s="1576"/>
      <c r="C70" s="1577" t="str">
        <f>IF(ISBLANK('Section 9| Compliance Plan'!A21),"",'Section 9| Compliance Plan'!A21)</f>
        <v/>
      </c>
      <c r="D70" s="1578"/>
      <c r="E70" s="1578"/>
      <c r="F70" s="1579"/>
      <c r="G70" s="124"/>
      <c r="M70" s="80"/>
      <c r="N70" s="80"/>
      <c r="O70" s="80"/>
      <c r="Q70" s="80"/>
      <c r="R70" s="80"/>
      <c r="S70" s="80"/>
      <c r="T70" s="80"/>
      <c r="U70" s="80"/>
      <c r="V70" s="80"/>
      <c r="W70" s="80"/>
      <c r="X70" s="80"/>
    </row>
    <row r="71" spans="1:24" ht="18" customHeight="1" x14ac:dyDescent="0.25">
      <c r="A71" s="1580" t="s">
        <v>1692</v>
      </c>
      <c r="B71" s="1581"/>
      <c r="C71" s="1581"/>
      <c r="D71" s="1581"/>
      <c r="E71" s="1581"/>
      <c r="F71" s="1582"/>
      <c r="G71" s="124"/>
      <c r="M71" s="80"/>
      <c r="N71" s="80"/>
      <c r="O71" s="80"/>
      <c r="Q71" s="80"/>
      <c r="R71" s="80"/>
      <c r="S71" s="80"/>
      <c r="T71" s="80"/>
      <c r="U71" s="80"/>
      <c r="V71" s="80"/>
      <c r="W71" s="80"/>
      <c r="X71" s="80"/>
    </row>
    <row r="72" spans="1:24" ht="65.099999999999994" customHeight="1" x14ac:dyDescent="0.25">
      <c r="A72" s="1583"/>
      <c r="B72" s="1584"/>
      <c r="C72" s="1584"/>
      <c r="D72" s="1584"/>
      <c r="E72" s="1584"/>
      <c r="F72" s="1585"/>
      <c r="G72" s="124"/>
      <c r="M72" s="80"/>
      <c r="N72" s="80"/>
      <c r="O72" s="80"/>
      <c r="Q72" s="80"/>
      <c r="R72" s="80"/>
      <c r="S72" s="80"/>
      <c r="T72" s="80"/>
      <c r="U72" s="80"/>
      <c r="V72" s="80"/>
      <c r="W72" s="80"/>
      <c r="X72" s="80"/>
    </row>
    <row r="73" spans="1:24" ht="18" customHeight="1" x14ac:dyDescent="0.25">
      <c r="A73" s="1580" t="s">
        <v>1693</v>
      </c>
      <c r="B73" s="1581"/>
      <c r="C73" s="1581"/>
      <c r="D73" s="1581"/>
      <c r="E73" s="1581"/>
      <c r="F73" s="1582"/>
      <c r="G73" s="124"/>
      <c r="M73" s="80"/>
      <c r="N73" s="80"/>
      <c r="O73" s="80"/>
      <c r="Q73" s="80"/>
      <c r="R73" s="80"/>
      <c r="S73" s="80"/>
      <c r="T73" s="80"/>
      <c r="U73" s="80"/>
      <c r="V73" s="80"/>
      <c r="W73" s="80"/>
      <c r="X73" s="80"/>
    </row>
    <row r="74" spans="1:24" ht="18" customHeight="1" x14ac:dyDescent="0.25">
      <c r="A74" s="1586" t="s">
        <v>1694</v>
      </c>
      <c r="B74" s="1587"/>
      <c r="C74" s="1587"/>
      <c r="D74" s="1587"/>
      <c r="E74" s="1588"/>
      <c r="F74" s="173" t="s">
        <v>1695</v>
      </c>
      <c r="G74" s="124"/>
      <c r="M74" s="80"/>
      <c r="N74" s="80"/>
      <c r="O74" s="80"/>
      <c r="Q74" s="80"/>
      <c r="R74" s="80"/>
      <c r="S74" s="80"/>
      <c r="T74" s="80"/>
      <c r="U74" s="80"/>
      <c r="V74" s="80"/>
      <c r="W74" s="80"/>
      <c r="X74" s="80"/>
    </row>
    <row r="75" spans="1:24" ht="18" customHeight="1" x14ac:dyDescent="0.25">
      <c r="A75" s="1589"/>
      <c r="B75" s="1565"/>
      <c r="C75" s="1565"/>
      <c r="D75" s="1565"/>
      <c r="E75" s="1564"/>
      <c r="F75" s="170"/>
      <c r="G75" s="124"/>
      <c r="M75" s="80"/>
      <c r="N75" s="80"/>
      <c r="O75" s="80"/>
      <c r="Q75" s="80"/>
      <c r="R75" s="80"/>
      <c r="S75" s="80"/>
      <c r="T75" s="80"/>
      <c r="U75" s="80"/>
      <c r="V75" s="80"/>
      <c r="W75" s="80"/>
      <c r="X75" s="80"/>
    </row>
    <row r="76" spans="1:24" ht="18" customHeight="1" x14ac:dyDescent="0.25">
      <c r="A76" s="1574"/>
      <c r="B76" s="1554"/>
      <c r="C76" s="1554"/>
      <c r="D76" s="1554"/>
      <c r="E76" s="1553"/>
      <c r="F76" s="171"/>
      <c r="G76" s="124"/>
      <c r="M76" s="80"/>
      <c r="N76" s="80"/>
      <c r="O76" s="80"/>
      <c r="Q76" s="80"/>
      <c r="R76" s="80"/>
      <c r="S76" s="80"/>
      <c r="T76" s="80"/>
      <c r="U76" s="80"/>
      <c r="V76" s="80"/>
      <c r="W76" s="80"/>
      <c r="X76" s="80"/>
    </row>
    <row r="77" spans="1:24" ht="18" customHeight="1" x14ac:dyDescent="0.25">
      <c r="A77" s="1574"/>
      <c r="B77" s="1554"/>
      <c r="C77" s="1554"/>
      <c r="D77" s="1554"/>
      <c r="E77" s="1553"/>
      <c r="F77" s="171"/>
      <c r="G77" s="124"/>
      <c r="M77" s="80"/>
      <c r="N77" s="80"/>
      <c r="O77" s="80"/>
      <c r="Q77" s="80"/>
      <c r="R77" s="80"/>
      <c r="S77" s="80"/>
      <c r="T77" s="80"/>
      <c r="U77" s="80"/>
      <c r="V77" s="80"/>
      <c r="W77" s="80"/>
      <c r="X77" s="80"/>
    </row>
    <row r="78" spans="1:24" ht="18" customHeight="1" x14ac:dyDescent="0.25">
      <c r="A78" s="1574"/>
      <c r="B78" s="1554"/>
      <c r="C78" s="1554"/>
      <c r="D78" s="1554"/>
      <c r="E78" s="1553"/>
      <c r="F78" s="171"/>
      <c r="G78" s="124"/>
      <c r="M78" s="80"/>
      <c r="N78" s="80"/>
      <c r="O78" s="80"/>
      <c r="Q78" s="80"/>
      <c r="R78" s="80"/>
      <c r="S78" s="80"/>
      <c r="T78" s="80"/>
      <c r="U78" s="80"/>
      <c r="V78" s="80"/>
      <c r="W78" s="80"/>
      <c r="X78" s="80"/>
    </row>
    <row r="79" spans="1:24" ht="18" customHeight="1" x14ac:dyDescent="0.25">
      <c r="A79" s="1574"/>
      <c r="B79" s="1554"/>
      <c r="C79" s="1554"/>
      <c r="D79" s="1554"/>
      <c r="E79" s="1553"/>
      <c r="F79" s="171"/>
      <c r="G79" s="124"/>
      <c r="M79" s="80"/>
      <c r="N79" s="80"/>
      <c r="O79" s="80"/>
      <c r="Q79" s="80"/>
      <c r="R79" s="80"/>
      <c r="S79" s="80"/>
      <c r="T79" s="80"/>
      <c r="U79" s="80"/>
      <c r="V79" s="80"/>
      <c r="W79" s="80"/>
      <c r="X79" s="80"/>
    </row>
    <row r="80" spans="1:24" ht="18" customHeight="1" thickBot="1" x14ac:dyDescent="0.3">
      <c r="A80" s="1575"/>
      <c r="B80" s="1558"/>
      <c r="C80" s="1558"/>
      <c r="D80" s="1558"/>
      <c r="E80" s="1557"/>
      <c r="F80" s="172"/>
      <c r="G80" s="124"/>
      <c r="M80" s="80"/>
      <c r="N80" s="80"/>
      <c r="O80" s="80"/>
      <c r="Q80" s="80"/>
      <c r="R80" s="80"/>
      <c r="S80" s="80"/>
      <c r="T80" s="80"/>
      <c r="U80" s="80"/>
      <c r="V80" s="80"/>
      <c r="W80" s="80"/>
      <c r="X80" s="80"/>
    </row>
    <row r="81" spans="1:24" ht="18" customHeight="1" x14ac:dyDescent="0.25">
      <c r="A81" s="1099" t="s">
        <v>1690</v>
      </c>
      <c r="B81" s="1590"/>
      <c r="C81" s="1591" t="str">
        <f>IF(ISBLANK('Section 9| Compliance Plan'!B22),"",'Section 9| Compliance Plan'!B22)</f>
        <v/>
      </c>
      <c r="D81" s="1592"/>
      <c r="E81" s="1592"/>
      <c r="F81" s="1593"/>
      <c r="G81" s="124"/>
      <c r="M81" s="80"/>
      <c r="N81" s="80"/>
      <c r="O81" s="80"/>
      <c r="Q81" s="80"/>
      <c r="R81" s="80"/>
      <c r="S81" s="80"/>
      <c r="T81" s="80"/>
      <c r="U81" s="80"/>
      <c r="V81" s="80"/>
      <c r="W81" s="80"/>
      <c r="X81" s="80"/>
    </row>
    <row r="82" spans="1:24" ht="18" customHeight="1" x14ac:dyDescent="0.25">
      <c r="A82" s="1105" t="s">
        <v>1691</v>
      </c>
      <c r="B82" s="1576"/>
      <c r="C82" s="1577" t="str">
        <f>IF(ISBLANK('Section 9| Compliance Plan'!A22),"",'Section 9| Compliance Plan'!A22)</f>
        <v/>
      </c>
      <c r="D82" s="1578"/>
      <c r="E82" s="1578"/>
      <c r="F82" s="1579"/>
      <c r="G82" s="124"/>
      <c r="M82" s="80"/>
      <c r="N82" s="80"/>
      <c r="O82" s="80"/>
      <c r="Q82" s="80"/>
      <c r="R82" s="80"/>
      <c r="S82" s="80"/>
      <c r="T82" s="80"/>
      <c r="U82" s="80"/>
      <c r="V82" s="80"/>
      <c r="W82" s="80"/>
      <c r="X82" s="80"/>
    </row>
    <row r="83" spans="1:24" ht="18" customHeight="1" x14ac:dyDescent="0.25">
      <c r="A83" s="1580" t="s">
        <v>1692</v>
      </c>
      <c r="B83" s="1581"/>
      <c r="C83" s="1581"/>
      <c r="D83" s="1581"/>
      <c r="E83" s="1581"/>
      <c r="F83" s="1582"/>
      <c r="G83" s="124"/>
      <c r="M83" s="80"/>
      <c r="N83" s="80"/>
      <c r="O83" s="80"/>
      <c r="Q83" s="80"/>
      <c r="R83" s="80"/>
      <c r="S83" s="80"/>
      <c r="T83" s="80"/>
      <c r="U83" s="80"/>
      <c r="V83" s="80"/>
      <c r="W83" s="80"/>
      <c r="X83" s="80"/>
    </row>
    <row r="84" spans="1:24" ht="65.099999999999994" customHeight="1" x14ac:dyDescent="0.25">
      <c r="A84" s="1583"/>
      <c r="B84" s="1584"/>
      <c r="C84" s="1584"/>
      <c r="D84" s="1584"/>
      <c r="E84" s="1584"/>
      <c r="F84" s="1585"/>
      <c r="G84" s="124"/>
      <c r="M84" s="80"/>
      <c r="N84" s="80"/>
      <c r="O84" s="80"/>
      <c r="Q84" s="80"/>
      <c r="R84" s="80"/>
      <c r="S84" s="80"/>
      <c r="T84" s="80"/>
      <c r="U84" s="80"/>
      <c r="V84" s="80"/>
      <c r="W84" s="80"/>
      <c r="X84" s="80"/>
    </row>
    <row r="85" spans="1:24" ht="18" customHeight="1" x14ac:dyDescent="0.25">
      <c r="A85" s="1580" t="s">
        <v>1693</v>
      </c>
      <c r="B85" s="1581"/>
      <c r="C85" s="1581"/>
      <c r="D85" s="1581"/>
      <c r="E85" s="1581"/>
      <c r="F85" s="1582"/>
      <c r="G85" s="124"/>
      <c r="M85" s="80"/>
      <c r="N85" s="80"/>
      <c r="O85" s="80"/>
      <c r="Q85" s="80"/>
      <c r="R85" s="80"/>
      <c r="S85" s="80"/>
      <c r="T85" s="80"/>
      <c r="U85" s="80"/>
      <c r="V85" s="80"/>
      <c r="W85" s="80"/>
      <c r="X85" s="80"/>
    </row>
    <row r="86" spans="1:24" ht="18" customHeight="1" x14ac:dyDescent="0.25">
      <c r="A86" s="1586" t="s">
        <v>1694</v>
      </c>
      <c r="B86" s="1587"/>
      <c r="C86" s="1587"/>
      <c r="D86" s="1587"/>
      <c r="E86" s="1588"/>
      <c r="F86" s="173" t="s">
        <v>1695</v>
      </c>
      <c r="G86" s="124"/>
      <c r="M86" s="80"/>
      <c r="N86" s="80"/>
      <c r="O86" s="80"/>
      <c r="Q86" s="80"/>
      <c r="R86" s="80"/>
      <c r="S86" s="80"/>
      <c r="T86" s="80"/>
      <c r="U86" s="80"/>
      <c r="V86" s="80"/>
      <c r="W86" s="80"/>
      <c r="X86" s="80"/>
    </row>
    <row r="87" spans="1:24" ht="18" customHeight="1" x14ac:dyDescent="0.25">
      <c r="A87" s="1589"/>
      <c r="B87" s="1565"/>
      <c r="C87" s="1565"/>
      <c r="D87" s="1565"/>
      <c r="E87" s="1564"/>
      <c r="F87" s="170"/>
      <c r="G87" s="124"/>
      <c r="M87" s="80"/>
      <c r="N87" s="80"/>
      <c r="O87" s="80"/>
      <c r="Q87" s="80"/>
      <c r="R87" s="80"/>
      <c r="S87" s="80"/>
      <c r="T87" s="80"/>
      <c r="U87" s="80"/>
      <c r="V87" s="80"/>
      <c r="W87" s="80"/>
      <c r="X87" s="80"/>
    </row>
    <row r="88" spans="1:24" ht="18" customHeight="1" x14ac:dyDescent="0.25">
      <c r="A88" s="1574"/>
      <c r="B88" s="1554"/>
      <c r="C88" s="1554"/>
      <c r="D88" s="1554"/>
      <c r="E88" s="1553"/>
      <c r="F88" s="171"/>
      <c r="G88" s="124"/>
      <c r="M88" s="80"/>
      <c r="N88" s="80"/>
      <c r="O88" s="80"/>
      <c r="Q88" s="80"/>
      <c r="R88" s="80"/>
      <c r="S88" s="80"/>
      <c r="T88" s="80"/>
      <c r="U88" s="80"/>
      <c r="V88" s="80"/>
      <c r="W88" s="80"/>
      <c r="X88" s="80"/>
    </row>
    <row r="89" spans="1:24" ht="18" customHeight="1" x14ac:dyDescent="0.25">
      <c r="A89" s="1574"/>
      <c r="B89" s="1554"/>
      <c r="C89" s="1554"/>
      <c r="D89" s="1554"/>
      <c r="E89" s="1553"/>
      <c r="F89" s="171"/>
      <c r="G89" s="124"/>
      <c r="M89" s="80"/>
      <c r="N89" s="80"/>
      <c r="O89" s="80"/>
      <c r="Q89" s="80"/>
      <c r="R89" s="80"/>
      <c r="S89" s="80"/>
      <c r="T89" s="80"/>
      <c r="U89" s="80"/>
      <c r="V89" s="80"/>
      <c r="W89" s="80"/>
      <c r="X89" s="80"/>
    </row>
    <row r="90" spans="1:24" ht="18" customHeight="1" x14ac:dyDescent="0.25">
      <c r="A90" s="1574"/>
      <c r="B90" s="1554"/>
      <c r="C90" s="1554"/>
      <c r="D90" s="1554"/>
      <c r="E90" s="1553"/>
      <c r="F90" s="171"/>
      <c r="G90" s="124"/>
      <c r="M90" s="80"/>
      <c r="N90" s="80"/>
      <c r="O90" s="80"/>
      <c r="Q90" s="80"/>
      <c r="R90" s="80"/>
      <c r="S90" s="80"/>
      <c r="T90" s="80"/>
      <c r="U90" s="80"/>
      <c r="V90" s="80"/>
      <c r="W90" s="80"/>
      <c r="X90" s="80"/>
    </row>
    <row r="91" spans="1:24" ht="18" customHeight="1" x14ac:dyDescent="0.25">
      <c r="A91" s="1574"/>
      <c r="B91" s="1554"/>
      <c r="C91" s="1554"/>
      <c r="D91" s="1554"/>
      <c r="E91" s="1553"/>
      <c r="F91" s="171"/>
      <c r="G91" s="124"/>
      <c r="M91" s="80"/>
      <c r="N91" s="80"/>
      <c r="O91" s="80"/>
      <c r="Q91" s="80"/>
      <c r="R91" s="80"/>
      <c r="S91" s="80"/>
      <c r="T91" s="80"/>
      <c r="U91" s="80"/>
      <c r="V91" s="80"/>
      <c r="W91" s="80"/>
      <c r="X91" s="80"/>
    </row>
    <row r="92" spans="1:24" ht="18" customHeight="1" thickBot="1" x14ac:dyDescent="0.3">
      <c r="A92" s="1575"/>
      <c r="B92" s="1558"/>
      <c r="C92" s="1558"/>
      <c r="D92" s="1558"/>
      <c r="E92" s="1557"/>
      <c r="F92" s="172"/>
      <c r="G92" s="124"/>
      <c r="M92" s="80"/>
      <c r="N92" s="80"/>
      <c r="O92" s="80"/>
      <c r="Q92" s="80"/>
      <c r="R92" s="80"/>
      <c r="S92" s="80"/>
      <c r="T92" s="80"/>
      <c r="U92" s="80"/>
      <c r="V92" s="80"/>
      <c r="W92" s="80"/>
      <c r="X92" s="80"/>
    </row>
    <row r="93" spans="1:24" ht="18" customHeight="1" x14ac:dyDescent="0.25">
      <c r="A93" s="1099" t="s">
        <v>1690</v>
      </c>
      <c r="B93" s="1590"/>
      <c r="C93" s="1591" t="str">
        <f>IF(ISBLANK('Section 9| Compliance Plan'!B23),"",'Section 9| Compliance Plan'!B23)</f>
        <v/>
      </c>
      <c r="D93" s="1592"/>
      <c r="E93" s="1592"/>
      <c r="F93" s="1593"/>
      <c r="G93" s="124"/>
      <c r="M93" s="80"/>
      <c r="N93" s="80"/>
      <c r="O93" s="80"/>
      <c r="Q93" s="80"/>
      <c r="R93" s="80"/>
      <c r="S93" s="80"/>
      <c r="T93" s="80"/>
      <c r="U93" s="80"/>
      <c r="V93" s="80"/>
      <c r="W93" s="80"/>
      <c r="X93" s="80"/>
    </row>
    <row r="94" spans="1:24" ht="18" customHeight="1" x14ac:dyDescent="0.25">
      <c r="A94" s="1105" t="s">
        <v>1691</v>
      </c>
      <c r="B94" s="1576"/>
      <c r="C94" s="1577" t="str">
        <f>IF(ISBLANK('Section 9| Compliance Plan'!A23),"",'Section 9| Compliance Plan'!A23)</f>
        <v/>
      </c>
      <c r="D94" s="1578"/>
      <c r="E94" s="1578"/>
      <c r="F94" s="1579"/>
      <c r="G94" s="124"/>
      <c r="M94" s="80"/>
      <c r="N94" s="80"/>
      <c r="O94" s="80"/>
      <c r="Q94" s="80"/>
      <c r="R94" s="80"/>
      <c r="S94" s="80"/>
      <c r="T94" s="80"/>
      <c r="U94" s="80"/>
      <c r="V94" s="80"/>
      <c r="W94" s="80"/>
      <c r="X94" s="80"/>
    </row>
    <row r="95" spans="1:24" ht="18" customHeight="1" x14ac:dyDescent="0.25">
      <c r="A95" s="1580" t="s">
        <v>1692</v>
      </c>
      <c r="B95" s="1581"/>
      <c r="C95" s="1581"/>
      <c r="D95" s="1581"/>
      <c r="E95" s="1581"/>
      <c r="F95" s="1582"/>
      <c r="G95" s="124"/>
      <c r="M95" s="80"/>
      <c r="N95" s="80"/>
      <c r="O95" s="80"/>
      <c r="Q95" s="80"/>
      <c r="R95" s="80"/>
      <c r="S95" s="80"/>
      <c r="T95" s="80"/>
      <c r="U95" s="80"/>
      <c r="V95" s="80"/>
      <c r="W95" s="80"/>
      <c r="X95" s="80"/>
    </row>
    <row r="96" spans="1:24" ht="65.099999999999994" customHeight="1" x14ac:dyDescent="0.25">
      <c r="A96" s="1583"/>
      <c r="B96" s="1584"/>
      <c r="C96" s="1584"/>
      <c r="D96" s="1584"/>
      <c r="E96" s="1584"/>
      <c r="F96" s="1585"/>
      <c r="G96" s="124"/>
      <c r="M96" s="80"/>
      <c r="N96" s="80"/>
      <c r="O96" s="80"/>
      <c r="Q96" s="80"/>
      <c r="R96" s="80"/>
      <c r="S96" s="80"/>
      <c r="T96" s="80"/>
      <c r="U96" s="80"/>
      <c r="V96" s="80"/>
      <c r="W96" s="80"/>
      <c r="X96" s="80"/>
    </row>
    <row r="97" spans="1:24" ht="18" customHeight="1" x14ac:dyDescent="0.25">
      <c r="A97" s="1580" t="s">
        <v>1693</v>
      </c>
      <c r="B97" s="1581"/>
      <c r="C97" s="1581"/>
      <c r="D97" s="1581"/>
      <c r="E97" s="1581"/>
      <c r="F97" s="1582"/>
      <c r="G97" s="124"/>
      <c r="M97" s="80"/>
      <c r="N97" s="80"/>
      <c r="O97" s="80"/>
      <c r="Q97" s="80"/>
      <c r="R97" s="80"/>
      <c r="S97" s="80"/>
      <c r="T97" s="80"/>
      <c r="U97" s="80"/>
      <c r="V97" s="80"/>
      <c r="W97" s="80"/>
      <c r="X97" s="80"/>
    </row>
    <row r="98" spans="1:24" ht="18" customHeight="1" x14ac:dyDescent="0.25">
      <c r="A98" s="1586" t="s">
        <v>1694</v>
      </c>
      <c r="B98" s="1587"/>
      <c r="C98" s="1587"/>
      <c r="D98" s="1587"/>
      <c r="E98" s="1588"/>
      <c r="F98" s="173" t="s">
        <v>1695</v>
      </c>
      <c r="G98" s="124"/>
      <c r="M98" s="80"/>
      <c r="N98" s="80"/>
      <c r="O98" s="80"/>
      <c r="Q98" s="80"/>
      <c r="R98" s="80"/>
      <c r="S98" s="80"/>
      <c r="T98" s="80"/>
      <c r="U98" s="80"/>
      <c r="V98" s="80"/>
      <c r="W98" s="80"/>
      <c r="X98" s="80"/>
    </row>
    <row r="99" spans="1:24" ht="18" customHeight="1" x14ac:dyDescent="0.25">
      <c r="A99" s="1589"/>
      <c r="B99" s="1565"/>
      <c r="C99" s="1565"/>
      <c r="D99" s="1565"/>
      <c r="E99" s="1564"/>
      <c r="F99" s="170"/>
      <c r="G99" s="124"/>
      <c r="M99" s="80"/>
      <c r="N99" s="80"/>
      <c r="O99" s="80"/>
      <c r="Q99" s="80"/>
      <c r="R99" s="80"/>
      <c r="S99" s="80"/>
      <c r="T99" s="80"/>
      <c r="U99" s="80"/>
      <c r="V99" s="80"/>
      <c r="W99" s="80"/>
      <c r="X99" s="80"/>
    </row>
    <row r="100" spans="1:24" ht="18" customHeight="1" x14ac:dyDescent="0.25">
      <c r="A100" s="1574"/>
      <c r="B100" s="1554"/>
      <c r="C100" s="1554"/>
      <c r="D100" s="1554"/>
      <c r="E100" s="1553"/>
      <c r="F100" s="171"/>
      <c r="G100" s="124"/>
      <c r="M100" s="80"/>
      <c r="N100" s="80"/>
      <c r="O100" s="80"/>
      <c r="Q100" s="80"/>
      <c r="R100" s="80"/>
      <c r="S100" s="80"/>
      <c r="T100" s="80"/>
      <c r="U100" s="80"/>
      <c r="V100" s="80"/>
      <c r="W100" s="80"/>
      <c r="X100" s="80"/>
    </row>
    <row r="101" spans="1:24" ht="18" customHeight="1" x14ac:dyDescent="0.25">
      <c r="A101" s="1574"/>
      <c r="B101" s="1554"/>
      <c r="C101" s="1554"/>
      <c r="D101" s="1554"/>
      <c r="E101" s="1553"/>
      <c r="F101" s="171"/>
      <c r="G101" s="124"/>
      <c r="M101" s="80"/>
      <c r="N101" s="80"/>
      <c r="O101" s="80"/>
      <c r="Q101" s="80"/>
      <c r="R101" s="80"/>
      <c r="S101" s="80"/>
      <c r="T101" s="80"/>
      <c r="U101" s="80"/>
      <c r="V101" s="80"/>
      <c r="W101" s="80"/>
      <c r="X101" s="80"/>
    </row>
    <row r="102" spans="1:24" ht="18" customHeight="1" x14ac:dyDescent="0.25">
      <c r="A102" s="1574"/>
      <c r="B102" s="1554"/>
      <c r="C102" s="1554"/>
      <c r="D102" s="1554"/>
      <c r="E102" s="1553"/>
      <c r="F102" s="171"/>
      <c r="G102" s="124"/>
      <c r="M102" s="80"/>
      <c r="N102" s="80"/>
      <c r="O102" s="80"/>
      <c r="Q102" s="80"/>
      <c r="R102" s="80"/>
      <c r="S102" s="80"/>
      <c r="T102" s="80"/>
      <c r="U102" s="80"/>
      <c r="V102" s="80"/>
      <c r="W102" s="80"/>
      <c r="X102" s="80"/>
    </row>
    <row r="103" spans="1:24" ht="18" customHeight="1" x14ac:dyDescent="0.25">
      <c r="A103" s="1574"/>
      <c r="B103" s="1554"/>
      <c r="C103" s="1554"/>
      <c r="D103" s="1554"/>
      <c r="E103" s="1553"/>
      <c r="F103" s="171"/>
      <c r="G103" s="124"/>
      <c r="M103" s="80"/>
      <c r="N103" s="80"/>
      <c r="O103" s="80"/>
      <c r="Q103" s="80"/>
      <c r="R103" s="80"/>
      <c r="S103" s="80"/>
      <c r="T103" s="80"/>
      <c r="U103" s="80"/>
      <c r="V103" s="80"/>
      <c r="W103" s="80"/>
      <c r="X103" s="80"/>
    </row>
    <row r="104" spans="1:24" ht="18" customHeight="1" thickBot="1" x14ac:dyDescent="0.3">
      <c r="A104" s="1575"/>
      <c r="B104" s="1558"/>
      <c r="C104" s="1558"/>
      <c r="D104" s="1558"/>
      <c r="E104" s="1557"/>
      <c r="F104" s="172"/>
      <c r="G104" s="124"/>
      <c r="M104" s="80"/>
      <c r="N104" s="80"/>
      <c r="O104" s="80"/>
      <c r="Q104" s="80"/>
      <c r="R104" s="80"/>
      <c r="S104" s="80"/>
      <c r="T104" s="80"/>
      <c r="U104" s="80"/>
      <c r="V104" s="80"/>
      <c r="W104" s="80"/>
      <c r="X104" s="80"/>
    </row>
    <row r="105" spans="1:24" ht="18" customHeight="1" x14ac:dyDescent="0.25">
      <c r="A105" s="1099" t="s">
        <v>1690</v>
      </c>
      <c r="B105" s="1590"/>
      <c r="C105" s="1591" t="str">
        <f>IF(ISBLANK('Section 9| Compliance Plan'!B24),"",'Section 9| Compliance Plan'!B24)</f>
        <v/>
      </c>
      <c r="D105" s="1592"/>
      <c r="E105" s="1592"/>
      <c r="F105" s="1593"/>
      <c r="G105" s="124"/>
      <c r="M105" s="80"/>
      <c r="N105" s="80"/>
      <c r="O105" s="80"/>
      <c r="Q105" s="80"/>
      <c r="R105" s="80"/>
      <c r="S105" s="80"/>
      <c r="T105" s="80"/>
      <c r="U105" s="80"/>
      <c r="V105" s="80"/>
      <c r="W105" s="80"/>
      <c r="X105" s="80"/>
    </row>
    <row r="106" spans="1:24" ht="18" customHeight="1" x14ac:dyDescent="0.25">
      <c r="A106" s="1105" t="s">
        <v>1691</v>
      </c>
      <c r="B106" s="1576"/>
      <c r="C106" s="1577" t="str">
        <f>IF(ISBLANK('Section 9| Compliance Plan'!A24),"",'Section 9| Compliance Plan'!A24)</f>
        <v/>
      </c>
      <c r="D106" s="1578"/>
      <c r="E106" s="1578"/>
      <c r="F106" s="1579"/>
      <c r="G106" s="124"/>
      <c r="M106" s="80"/>
      <c r="N106" s="80"/>
      <c r="O106" s="80"/>
      <c r="Q106" s="80"/>
      <c r="R106" s="80"/>
      <c r="S106" s="80"/>
      <c r="T106" s="80"/>
      <c r="U106" s="80"/>
      <c r="V106" s="80"/>
      <c r="W106" s="80"/>
      <c r="X106" s="80"/>
    </row>
    <row r="107" spans="1:24" ht="18" customHeight="1" x14ac:dyDescent="0.25">
      <c r="A107" s="1580" t="s">
        <v>1692</v>
      </c>
      <c r="B107" s="1581"/>
      <c r="C107" s="1581"/>
      <c r="D107" s="1581"/>
      <c r="E107" s="1581"/>
      <c r="F107" s="1582"/>
      <c r="G107" s="124"/>
      <c r="M107" s="80"/>
      <c r="N107" s="80"/>
      <c r="O107" s="80"/>
      <c r="Q107" s="80"/>
      <c r="R107" s="80"/>
      <c r="S107" s="80"/>
      <c r="T107" s="80"/>
      <c r="U107" s="80"/>
      <c r="V107" s="80"/>
      <c r="W107" s="80"/>
      <c r="X107" s="80"/>
    </row>
    <row r="108" spans="1:24" ht="65.099999999999994" customHeight="1" x14ac:dyDescent="0.25">
      <c r="A108" s="1583"/>
      <c r="B108" s="1584"/>
      <c r="C108" s="1584"/>
      <c r="D108" s="1584"/>
      <c r="E108" s="1584"/>
      <c r="F108" s="1585"/>
      <c r="G108" s="124"/>
      <c r="M108" s="80"/>
      <c r="N108" s="80"/>
      <c r="O108" s="80"/>
      <c r="Q108" s="80"/>
      <c r="R108" s="80"/>
      <c r="S108" s="80"/>
      <c r="T108" s="80"/>
      <c r="U108" s="80"/>
      <c r="V108" s="80"/>
      <c r="W108" s="80"/>
      <c r="X108" s="80"/>
    </row>
    <row r="109" spans="1:24" ht="18" customHeight="1" x14ac:dyDescent="0.25">
      <c r="A109" s="1580" t="s">
        <v>1693</v>
      </c>
      <c r="B109" s="1581"/>
      <c r="C109" s="1581"/>
      <c r="D109" s="1581"/>
      <c r="E109" s="1581"/>
      <c r="F109" s="1582"/>
      <c r="G109" s="124"/>
      <c r="M109" s="80"/>
      <c r="N109" s="80"/>
      <c r="O109" s="80"/>
      <c r="Q109" s="80"/>
      <c r="R109" s="80"/>
      <c r="S109" s="80"/>
      <c r="T109" s="80"/>
      <c r="U109" s="80"/>
      <c r="V109" s="80"/>
      <c r="W109" s="80"/>
      <c r="X109" s="80"/>
    </row>
    <row r="110" spans="1:24" ht="18" customHeight="1" x14ac:dyDescent="0.25">
      <c r="A110" s="1586" t="s">
        <v>1694</v>
      </c>
      <c r="B110" s="1587"/>
      <c r="C110" s="1587"/>
      <c r="D110" s="1587"/>
      <c r="E110" s="1588"/>
      <c r="F110" s="173" t="s">
        <v>1695</v>
      </c>
      <c r="G110" s="124"/>
      <c r="M110" s="80"/>
      <c r="N110" s="80"/>
      <c r="O110" s="80"/>
      <c r="Q110" s="80"/>
      <c r="R110" s="80"/>
      <c r="S110" s="80"/>
      <c r="T110" s="80"/>
      <c r="U110" s="80"/>
      <c r="V110" s="80"/>
      <c r="W110" s="80"/>
      <c r="X110" s="80"/>
    </row>
    <row r="111" spans="1:24" ht="18" customHeight="1" x14ac:dyDescent="0.25">
      <c r="A111" s="1589"/>
      <c r="B111" s="1565"/>
      <c r="C111" s="1565"/>
      <c r="D111" s="1565"/>
      <c r="E111" s="1564"/>
      <c r="F111" s="170"/>
      <c r="G111" s="124"/>
      <c r="M111" s="80"/>
      <c r="N111" s="80"/>
      <c r="O111" s="80"/>
      <c r="Q111" s="80"/>
      <c r="R111" s="80"/>
      <c r="S111" s="80"/>
      <c r="T111" s="80"/>
      <c r="U111" s="80"/>
      <c r="V111" s="80"/>
      <c r="W111" s="80"/>
      <c r="X111" s="80"/>
    </row>
    <row r="112" spans="1:24" ht="18" customHeight="1" x14ac:dyDescent="0.25">
      <c r="A112" s="1574"/>
      <c r="B112" s="1554"/>
      <c r="C112" s="1554"/>
      <c r="D112" s="1554"/>
      <c r="E112" s="1553"/>
      <c r="F112" s="171"/>
      <c r="G112" s="124"/>
      <c r="M112" s="80"/>
      <c r="N112" s="80"/>
      <c r="O112" s="80"/>
      <c r="Q112" s="80"/>
      <c r="R112" s="80"/>
      <c r="S112" s="80"/>
      <c r="T112" s="80"/>
      <c r="U112" s="80"/>
      <c r="V112" s="80"/>
      <c r="W112" s="80"/>
      <c r="X112" s="80"/>
    </row>
    <row r="113" spans="1:24" ht="18" customHeight="1" x14ac:dyDescent="0.25">
      <c r="A113" s="1574"/>
      <c r="B113" s="1554"/>
      <c r="C113" s="1554"/>
      <c r="D113" s="1554"/>
      <c r="E113" s="1553"/>
      <c r="F113" s="171"/>
      <c r="G113" s="124"/>
      <c r="M113" s="80"/>
      <c r="N113" s="80"/>
      <c r="O113" s="80"/>
      <c r="Q113" s="80"/>
      <c r="R113" s="80"/>
      <c r="S113" s="80"/>
      <c r="T113" s="80"/>
      <c r="U113" s="80"/>
      <c r="V113" s="80"/>
      <c r="W113" s="80"/>
      <c r="X113" s="80"/>
    </row>
    <row r="114" spans="1:24" ht="18" customHeight="1" x14ac:dyDescent="0.25">
      <c r="A114" s="1574"/>
      <c r="B114" s="1554"/>
      <c r="C114" s="1554"/>
      <c r="D114" s="1554"/>
      <c r="E114" s="1553"/>
      <c r="F114" s="171"/>
      <c r="G114" s="124"/>
      <c r="M114" s="80"/>
      <c r="N114" s="80"/>
      <c r="O114" s="80"/>
      <c r="Q114" s="80"/>
      <c r="R114" s="80"/>
      <c r="S114" s="80"/>
      <c r="T114" s="80"/>
      <c r="U114" s="80"/>
      <c r="V114" s="80"/>
      <c r="W114" s="80"/>
      <c r="X114" s="80"/>
    </row>
    <row r="115" spans="1:24" ht="18" customHeight="1" x14ac:dyDescent="0.25">
      <c r="A115" s="1574"/>
      <c r="B115" s="1554"/>
      <c r="C115" s="1554"/>
      <c r="D115" s="1554"/>
      <c r="E115" s="1553"/>
      <c r="F115" s="171"/>
      <c r="G115" s="124"/>
      <c r="M115" s="80"/>
      <c r="N115" s="80"/>
      <c r="O115" s="80"/>
      <c r="Q115" s="80"/>
      <c r="R115" s="80"/>
      <c r="S115" s="80"/>
      <c r="T115" s="80"/>
      <c r="U115" s="80"/>
      <c r="V115" s="80"/>
      <c r="W115" s="80"/>
      <c r="X115" s="80"/>
    </row>
    <row r="116" spans="1:24" ht="18" customHeight="1" thickBot="1" x14ac:dyDescent="0.3">
      <c r="A116" s="1575"/>
      <c r="B116" s="1558"/>
      <c r="C116" s="1558"/>
      <c r="D116" s="1558"/>
      <c r="E116" s="1557"/>
      <c r="F116" s="172"/>
      <c r="G116" s="124"/>
      <c r="M116" s="80"/>
      <c r="N116" s="80"/>
      <c r="O116" s="80"/>
      <c r="Q116" s="80"/>
      <c r="R116" s="80"/>
      <c r="S116" s="80"/>
      <c r="T116" s="80"/>
      <c r="U116" s="80"/>
      <c r="V116" s="80"/>
      <c r="W116" s="80"/>
      <c r="X116" s="80"/>
    </row>
    <row r="117" spans="1:24" ht="18" customHeight="1" x14ac:dyDescent="0.25">
      <c r="A117" s="1099" t="s">
        <v>1690</v>
      </c>
      <c r="B117" s="1590"/>
      <c r="C117" s="1591" t="str">
        <f>IF(ISBLANK('Section 9| Compliance Plan'!B25),"",'Section 9| Compliance Plan'!B25)</f>
        <v/>
      </c>
      <c r="D117" s="1592"/>
      <c r="E117" s="1592"/>
      <c r="F117" s="1593"/>
      <c r="G117" s="124"/>
      <c r="M117" s="80"/>
      <c r="N117" s="80"/>
      <c r="O117" s="80"/>
      <c r="Q117" s="80"/>
      <c r="R117" s="80"/>
      <c r="S117" s="80"/>
      <c r="T117" s="80"/>
      <c r="U117" s="80"/>
      <c r="V117" s="80"/>
      <c r="W117" s="80"/>
      <c r="X117" s="80"/>
    </row>
    <row r="118" spans="1:24" ht="18" customHeight="1" x14ac:dyDescent="0.25">
      <c r="A118" s="1105" t="s">
        <v>1691</v>
      </c>
      <c r="B118" s="1576"/>
      <c r="C118" s="1577" t="str">
        <f>IF(ISBLANK('Section 9| Compliance Plan'!A25),"",'Section 9| Compliance Plan'!A25)</f>
        <v/>
      </c>
      <c r="D118" s="1578"/>
      <c r="E118" s="1578"/>
      <c r="F118" s="1579"/>
      <c r="G118" s="124"/>
      <c r="M118" s="80"/>
      <c r="N118" s="80"/>
      <c r="O118" s="80"/>
      <c r="Q118" s="80"/>
      <c r="R118" s="80"/>
      <c r="S118" s="80"/>
      <c r="T118" s="80"/>
      <c r="U118" s="80"/>
      <c r="V118" s="80"/>
      <c r="W118" s="80"/>
      <c r="X118" s="80"/>
    </row>
    <row r="119" spans="1:24" ht="18" customHeight="1" x14ac:dyDescent="0.25">
      <c r="A119" s="1580" t="s">
        <v>1692</v>
      </c>
      <c r="B119" s="1581"/>
      <c r="C119" s="1581"/>
      <c r="D119" s="1581"/>
      <c r="E119" s="1581"/>
      <c r="F119" s="1582"/>
      <c r="G119" s="124"/>
      <c r="M119" s="80"/>
      <c r="N119" s="80"/>
      <c r="O119" s="80"/>
      <c r="Q119" s="80"/>
      <c r="R119" s="80"/>
      <c r="S119" s="80"/>
      <c r="T119" s="80"/>
      <c r="U119" s="80"/>
      <c r="V119" s="80"/>
      <c r="W119" s="80"/>
      <c r="X119" s="80"/>
    </row>
    <row r="120" spans="1:24" ht="65.099999999999994" customHeight="1" x14ac:dyDescent="0.25">
      <c r="A120" s="1583"/>
      <c r="B120" s="1584"/>
      <c r="C120" s="1584"/>
      <c r="D120" s="1584"/>
      <c r="E120" s="1584"/>
      <c r="F120" s="1585"/>
      <c r="G120" s="124"/>
      <c r="M120" s="80"/>
      <c r="N120" s="80"/>
      <c r="O120" s="80"/>
      <c r="Q120" s="80"/>
      <c r="R120" s="80"/>
      <c r="S120" s="80"/>
      <c r="T120" s="80"/>
      <c r="U120" s="80"/>
      <c r="V120" s="80"/>
      <c r="W120" s="80"/>
      <c r="X120" s="80"/>
    </row>
    <row r="121" spans="1:24" ht="18" customHeight="1" x14ac:dyDescent="0.25">
      <c r="A121" s="1580" t="s">
        <v>1693</v>
      </c>
      <c r="B121" s="1581"/>
      <c r="C121" s="1581"/>
      <c r="D121" s="1581"/>
      <c r="E121" s="1581"/>
      <c r="F121" s="1582"/>
      <c r="G121" s="124"/>
      <c r="M121" s="80"/>
      <c r="N121" s="80"/>
      <c r="O121" s="80"/>
      <c r="Q121" s="80"/>
      <c r="R121" s="80"/>
      <c r="S121" s="80"/>
      <c r="T121" s="80"/>
      <c r="U121" s="80"/>
      <c r="V121" s="80"/>
      <c r="W121" s="80"/>
      <c r="X121" s="80"/>
    </row>
    <row r="122" spans="1:24" ht="18" customHeight="1" x14ac:dyDescent="0.25">
      <c r="A122" s="1586" t="s">
        <v>1694</v>
      </c>
      <c r="B122" s="1587"/>
      <c r="C122" s="1587"/>
      <c r="D122" s="1587"/>
      <c r="E122" s="1588"/>
      <c r="F122" s="173" t="s">
        <v>1695</v>
      </c>
      <c r="G122" s="124"/>
      <c r="M122" s="80"/>
      <c r="N122" s="80"/>
      <c r="O122" s="80"/>
      <c r="Q122" s="80"/>
      <c r="R122" s="80"/>
      <c r="S122" s="80"/>
      <c r="T122" s="80"/>
      <c r="U122" s="80"/>
      <c r="V122" s="80"/>
      <c r="W122" s="80"/>
      <c r="X122" s="80"/>
    </row>
    <row r="123" spans="1:24" ht="18" customHeight="1" x14ac:dyDescent="0.25">
      <c r="A123" s="1589"/>
      <c r="B123" s="1565"/>
      <c r="C123" s="1565"/>
      <c r="D123" s="1565"/>
      <c r="E123" s="1564"/>
      <c r="F123" s="170"/>
      <c r="G123" s="124"/>
      <c r="M123" s="80"/>
      <c r="N123" s="80"/>
      <c r="O123" s="80"/>
      <c r="Q123" s="80"/>
      <c r="R123" s="80"/>
      <c r="S123" s="80"/>
      <c r="T123" s="80"/>
      <c r="U123" s="80"/>
      <c r="V123" s="80"/>
      <c r="W123" s="80"/>
      <c r="X123" s="80"/>
    </row>
    <row r="124" spans="1:24" ht="18" customHeight="1" x14ac:dyDescent="0.25">
      <c r="A124" s="1574"/>
      <c r="B124" s="1554"/>
      <c r="C124" s="1554"/>
      <c r="D124" s="1554"/>
      <c r="E124" s="1553"/>
      <c r="F124" s="171"/>
      <c r="G124" s="124"/>
      <c r="M124" s="80"/>
      <c r="N124" s="80"/>
      <c r="O124" s="80"/>
      <c r="Q124" s="80"/>
      <c r="R124" s="80"/>
      <c r="S124" s="80"/>
      <c r="T124" s="80"/>
      <c r="U124" s="80"/>
      <c r="V124" s="80"/>
      <c r="W124" s="80"/>
      <c r="X124" s="80"/>
    </row>
    <row r="125" spans="1:24" ht="18" customHeight="1" x14ac:dyDescent="0.25">
      <c r="A125" s="1574"/>
      <c r="B125" s="1554"/>
      <c r="C125" s="1554"/>
      <c r="D125" s="1554"/>
      <c r="E125" s="1553"/>
      <c r="F125" s="171"/>
      <c r="G125" s="124"/>
      <c r="M125" s="80"/>
      <c r="N125" s="80"/>
      <c r="O125" s="80"/>
      <c r="Q125" s="80"/>
      <c r="R125" s="80"/>
      <c r="S125" s="80"/>
      <c r="T125" s="80"/>
      <c r="U125" s="80"/>
      <c r="V125" s="80"/>
      <c r="W125" s="80"/>
      <c r="X125" s="80"/>
    </row>
    <row r="126" spans="1:24" ht="18" customHeight="1" x14ac:dyDescent="0.25">
      <c r="A126" s="1574"/>
      <c r="B126" s="1554"/>
      <c r="C126" s="1554"/>
      <c r="D126" s="1554"/>
      <c r="E126" s="1553"/>
      <c r="F126" s="171"/>
      <c r="G126" s="124"/>
      <c r="M126" s="80"/>
      <c r="N126" s="80"/>
      <c r="O126" s="80"/>
      <c r="Q126" s="80"/>
      <c r="R126" s="80"/>
      <c r="S126" s="80"/>
      <c r="T126" s="80"/>
      <c r="U126" s="80"/>
      <c r="V126" s="80"/>
      <c r="W126" s="80"/>
      <c r="X126" s="80"/>
    </row>
    <row r="127" spans="1:24" ht="18" customHeight="1" x14ac:dyDescent="0.25">
      <c r="A127" s="1574"/>
      <c r="B127" s="1554"/>
      <c r="C127" s="1554"/>
      <c r="D127" s="1554"/>
      <c r="E127" s="1553"/>
      <c r="F127" s="171"/>
      <c r="G127" s="124"/>
      <c r="M127" s="80"/>
      <c r="N127" s="80"/>
      <c r="O127" s="80"/>
      <c r="Q127" s="80"/>
      <c r="R127" s="80"/>
      <c r="S127" s="80"/>
      <c r="T127" s="80"/>
      <c r="U127" s="80"/>
      <c r="V127" s="80"/>
      <c r="W127" s="80"/>
      <c r="X127" s="80"/>
    </row>
    <row r="128" spans="1:24" ht="18" customHeight="1" thickBot="1" x14ac:dyDescent="0.3">
      <c r="A128" s="1575"/>
      <c r="B128" s="1558"/>
      <c r="C128" s="1558"/>
      <c r="D128" s="1558"/>
      <c r="E128" s="1557"/>
      <c r="F128" s="172"/>
      <c r="G128" s="124"/>
      <c r="M128" s="80"/>
      <c r="N128" s="80"/>
      <c r="O128" s="80"/>
      <c r="Q128" s="80"/>
      <c r="R128" s="80"/>
      <c r="S128" s="80"/>
      <c r="T128" s="80"/>
      <c r="U128" s="80"/>
      <c r="V128" s="80"/>
      <c r="W128" s="80"/>
      <c r="X128" s="80"/>
    </row>
    <row r="129" spans="1:24" ht="18" customHeight="1" x14ac:dyDescent="0.25">
      <c r="A129" s="1099" t="s">
        <v>1690</v>
      </c>
      <c r="B129" s="1590"/>
      <c r="C129" s="1591" t="str">
        <f>IF(ISBLANK('Section 9| Compliance Plan'!B26),"",'Section 9| Compliance Plan'!B26)</f>
        <v/>
      </c>
      <c r="D129" s="1592"/>
      <c r="E129" s="1592"/>
      <c r="F129" s="1593"/>
      <c r="G129" s="124"/>
      <c r="M129" s="80"/>
      <c r="N129" s="80"/>
      <c r="O129" s="80"/>
      <c r="Q129" s="80"/>
      <c r="R129" s="80"/>
      <c r="S129" s="80"/>
      <c r="T129" s="80"/>
      <c r="U129" s="80"/>
      <c r="V129" s="80"/>
      <c r="W129" s="80"/>
      <c r="X129" s="80"/>
    </row>
    <row r="130" spans="1:24" ht="18" customHeight="1" x14ac:dyDescent="0.25">
      <c r="A130" s="1105" t="s">
        <v>1691</v>
      </c>
      <c r="B130" s="1576"/>
      <c r="C130" s="1577" t="str">
        <f>IF(ISBLANK('Section 9| Compliance Plan'!A26),"",'Section 9| Compliance Plan'!A26)</f>
        <v/>
      </c>
      <c r="D130" s="1578"/>
      <c r="E130" s="1578"/>
      <c r="F130" s="1579"/>
      <c r="G130" s="124"/>
      <c r="M130" s="80"/>
      <c r="N130" s="80"/>
      <c r="O130" s="80"/>
      <c r="Q130" s="80"/>
      <c r="R130" s="80"/>
      <c r="S130" s="80"/>
      <c r="T130" s="80"/>
      <c r="U130" s="80"/>
      <c r="V130" s="80"/>
      <c r="W130" s="80"/>
      <c r="X130" s="80"/>
    </row>
    <row r="131" spans="1:24" ht="18" customHeight="1" x14ac:dyDescent="0.25">
      <c r="A131" s="1580" t="s">
        <v>1692</v>
      </c>
      <c r="B131" s="1581"/>
      <c r="C131" s="1581"/>
      <c r="D131" s="1581"/>
      <c r="E131" s="1581"/>
      <c r="F131" s="1582"/>
      <c r="G131" s="124"/>
      <c r="M131" s="80"/>
      <c r="N131" s="80"/>
      <c r="O131" s="80"/>
      <c r="Q131" s="80"/>
      <c r="R131" s="80"/>
      <c r="S131" s="80"/>
      <c r="T131" s="80"/>
      <c r="U131" s="80"/>
      <c r="V131" s="80"/>
      <c r="W131" s="80"/>
      <c r="X131" s="80"/>
    </row>
    <row r="132" spans="1:24" ht="65.099999999999994" customHeight="1" x14ac:dyDescent="0.25">
      <c r="A132" s="1583"/>
      <c r="B132" s="1584"/>
      <c r="C132" s="1584"/>
      <c r="D132" s="1584"/>
      <c r="E132" s="1584"/>
      <c r="F132" s="1585"/>
      <c r="G132" s="124"/>
      <c r="M132" s="80"/>
      <c r="N132" s="80"/>
      <c r="O132" s="80"/>
      <c r="Q132" s="80"/>
      <c r="R132" s="80"/>
      <c r="S132" s="80"/>
      <c r="T132" s="80"/>
      <c r="U132" s="80"/>
      <c r="V132" s="80"/>
      <c r="W132" s="80"/>
      <c r="X132" s="80"/>
    </row>
    <row r="133" spans="1:24" ht="18" customHeight="1" x14ac:dyDescent="0.25">
      <c r="A133" s="1580" t="s">
        <v>1693</v>
      </c>
      <c r="B133" s="1581"/>
      <c r="C133" s="1581"/>
      <c r="D133" s="1581"/>
      <c r="E133" s="1581"/>
      <c r="F133" s="1582"/>
      <c r="G133" s="124"/>
      <c r="M133" s="80"/>
      <c r="N133" s="80"/>
      <c r="O133" s="80"/>
      <c r="Q133" s="80"/>
      <c r="R133" s="80"/>
      <c r="S133" s="80"/>
      <c r="T133" s="80"/>
      <c r="U133" s="80"/>
      <c r="V133" s="80"/>
      <c r="W133" s="80"/>
      <c r="X133" s="80"/>
    </row>
    <row r="134" spans="1:24" ht="18" customHeight="1" x14ac:dyDescent="0.25">
      <c r="A134" s="1586" t="s">
        <v>1694</v>
      </c>
      <c r="B134" s="1587"/>
      <c r="C134" s="1587"/>
      <c r="D134" s="1587"/>
      <c r="E134" s="1588"/>
      <c r="F134" s="173" t="s">
        <v>1695</v>
      </c>
      <c r="G134" s="124"/>
      <c r="M134" s="80"/>
      <c r="N134" s="80"/>
      <c r="O134" s="80"/>
      <c r="Q134" s="80"/>
      <c r="R134" s="80"/>
      <c r="S134" s="80"/>
      <c r="T134" s="80"/>
      <c r="U134" s="80"/>
      <c r="V134" s="80"/>
      <c r="W134" s="80"/>
      <c r="X134" s="80"/>
    </row>
    <row r="135" spans="1:24" ht="18" customHeight="1" x14ac:dyDescent="0.25">
      <c r="A135" s="1589"/>
      <c r="B135" s="1565"/>
      <c r="C135" s="1565"/>
      <c r="D135" s="1565"/>
      <c r="E135" s="1564"/>
      <c r="F135" s="170"/>
      <c r="G135" s="124"/>
      <c r="M135" s="80"/>
      <c r="N135" s="80"/>
      <c r="O135" s="80"/>
      <c r="Q135" s="80"/>
      <c r="R135" s="80"/>
      <c r="S135" s="80"/>
      <c r="T135" s="80"/>
      <c r="U135" s="80"/>
      <c r="V135" s="80"/>
      <c r="W135" s="80"/>
      <c r="X135" s="80"/>
    </row>
    <row r="136" spans="1:24" ht="18" customHeight="1" x14ac:dyDescent="0.25">
      <c r="A136" s="1574"/>
      <c r="B136" s="1554"/>
      <c r="C136" s="1554"/>
      <c r="D136" s="1554"/>
      <c r="E136" s="1553"/>
      <c r="F136" s="171"/>
      <c r="G136" s="124"/>
      <c r="M136" s="80"/>
      <c r="N136" s="80"/>
      <c r="O136" s="80"/>
      <c r="Q136" s="80"/>
      <c r="R136" s="80"/>
      <c r="S136" s="80"/>
      <c r="T136" s="80"/>
      <c r="U136" s="80"/>
      <c r="V136" s="80"/>
      <c r="W136" s="80"/>
      <c r="X136" s="80"/>
    </row>
    <row r="137" spans="1:24" ht="18" customHeight="1" x14ac:dyDescent="0.25">
      <c r="A137" s="1574"/>
      <c r="B137" s="1554"/>
      <c r="C137" s="1554"/>
      <c r="D137" s="1554"/>
      <c r="E137" s="1553"/>
      <c r="F137" s="171"/>
      <c r="G137" s="124"/>
      <c r="M137" s="80"/>
      <c r="N137" s="80"/>
      <c r="O137" s="80"/>
      <c r="Q137" s="80"/>
      <c r="R137" s="80"/>
      <c r="S137" s="80"/>
      <c r="T137" s="80"/>
      <c r="U137" s="80"/>
      <c r="V137" s="80"/>
      <c r="W137" s="80"/>
      <c r="X137" s="80"/>
    </row>
    <row r="138" spans="1:24" ht="18" customHeight="1" x14ac:dyDescent="0.25">
      <c r="A138" s="1574"/>
      <c r="B138" s="1554"/>
      <c r="C138" s="1554"/>
      <c r="D138" s="1554"/>
      <c r="E138" s="1553"/>
      <c r="F138" s="171"/>
      <c r="G138" s="124"/>
      <c r="M138" s="80"/>
      <c r="N138" s="80"/>
      <c r="O138" s="80"/>
      <c r="Q138" s="80"/>
      <c r="R138" s="80"/>
      <c r="S138" s="80"/>
      <c r="T138" s="80"/>
      <c r="U138" s="80"/>
      <c r="V138" s="80"/>
      <c r="W138" s="80"/>
      <c r="X138" s="80"/>
    </row>
    <row r="139" spans="1:24" ht="18" customHeight="1" x14ac:dyDescent="0.25">
      <c r="A139" s="1574"/>
      <c r="B139" s="1554"/>
      <c r="C139" s="1554"/>
      <c r="D139" s="1554"/>
      <c r="E139" s="1553"/>
      <c r="F139" s="171"/>
      <c r="G139" s="124"/>
      <c r="M139" s="80"/>
      <c r="N139" s="80"/>
      <c r="O139" s="80"/>
      <c r="Q139" s="80"/>
      <c r="R139" s="80"/>
      <c r="S139" s="80"/>
      <c r="T139" s="80"/>
      <c r="U139" s="80"/>
      <c r="V139" s="80"/>
      <c r="W139" s="80"/>
      <c r="X139" s="80"/>
    </row>
    <row r="140" spans="1:24" ht="18" customHeight="1" thickBot="1" x14ac:dyDescent="0.3">
      <c r="A140" s="1575"/>
      <c r="B140" s="1558"/>
      <c r="C140" s="1558"/>
      <c r="D140" s="1558"/>
      <c r="E140" s="1557"/>
      <c r="F140" s="172"/>
      <c r="G140" s="124"/>
      <c r="M140" s="80"/>
      <c r="N140" s="80"/>
      <c r="O140" s="80"/>
      <c r="Q140" s="80"/>
      <c r="R140" s="80"/>
      <c r="S140" s="80"/>
      <c r="T140" s="80"/>
      <c r="U140" s="80"/>
      <c r="V140" s="80"/>
      <c r="W140" s="80"/>
      <c r="X140" s="80"/>
    </row>
    <row r="141" spans="1:24" ht="18" customHeight="1" x14ac:dyDescent="0.25">
      <c r="A141" s="1099" t="s">
        <v>1690</v>
      </c>
      <c r="B141" s="1590"/>
      <c r="C141" s="1591" t="str">
        <f>IF(ISBLANK('Section 9| Compliance Plan'!B27),"",'Section 9| Compliance Plan'!B27)</f>
        <v/>
      </c>
      <c r="D141" s="1592"/>
      <c r="E141" s="1592"/>
      <c r="F141" s="1593"/>
      <c r="G141" s="124"/>
      <c r="M141" s="80"/>
      <c r="N141" s="80"/>
      <c r="O141" s="80"/>
      <c r="Q141" s="80"/>
      <c r="R141" s="80"/>
      <c r="S141" s="80"/>
      <c r="T141" s="80"/>
      <c r="U141" s="80"/>
      <c r="V141" s="80"/>
      <c r="W141" s="80"/>
      <c r="X141" s="80"/>
    </row>
    <row r="142" spans="1:24" ht="18" customHeight="1" x14ac:dyDescent="0.25">
      <c r="A142" s="1105" t="s">
        <v>1691</v>
      </c>
      <c r="B142" s="1576"/>
      <c r="C142" s="1577" t="str">
        <f>IF(ISBLANK('Section 9| Compliance Plan'!A27),"",'Section 9| Compliance Plan'!A27)</f>
        <v/>
      </c>
      <c r="D142" s="1578"/>
      <c r="E142" s="1578"/>
      <c r="F142" s="1579"/>
      <c r="G142" s="124"/>
      <c r="M142" s="80"/>
      <c r="N142" s="80"/>
      <c r="O142" s="80"/>
      <c r="Q142" s="80"/>
      <c r="R142" s="80"/>
      <c r="S142" s="80"/>
      <c r="T142" s="80"/>
      <c r="U142" s="80"/>
      <c r="V142" s="80"/>
      <c r="W142" s="80"/>
      <c r="X142" s="80"/>
    </row>
    <row r="143" spans="1:24" ht="18" customHeight="1" x14ac:dyDescent="0.25">
      <c r="A143" s="1580" t="s">
        <v>1692</v>
      </c>
      <c r="B143" s="1581"/>
      <c r="C143" s="1581"/>
      <c r="D143" s="1581"/>
      <c r="E143" s="1581"/>
      <c r="F143" s="1582"/>
      <c r="G143" s="124"/>
      <c r="M143" s="80"/>
      <c r="N143" s="80"/>
      <c r="O143" s="80"/>
      <c r="Q143" s="80"/>
      <c r="R143" s="80"/>
      <c r="S143" s="80"/>
      <c r="T143" s="80"/>
      <c r="U143" s="80"/>
      <c r="V143" s="80"/>
      <c r="W143" s="80"/>
      <c r="X143" s="80"/>
    </row>
    <row r="144" spans="1:24" ht="65.099999999999994" customHeight="1" x14ac:dyDescent="0.25">
      <c r="A144" s="1583"/>
      <c r="B144" s="1584"/>
      <c r="C144" s="1584"/>
      <c r="D144" s="1584"/>
      <c r="E144" s="1584"/>
      <c r="F144" s="1585"/>
      <c r="G144" s="124"/>
      <c r="M144" s="80"/>
      <c r="N144" s="80"/>
      <c r="O144" s="80"/>
      <c r="Q144" s="80"/>
      <c r="R144" s="80"/>
      <c r="S144" s="80"/>
      <c r="T144" s="80"/>
      <c r="U144" s="80"/>
      <c r="V144" s="80"/>
      <c r="W144" s="80"/>
      <c r="X144" s="80"/>
    </row>
    <row r="145" spans="1:24" ht="18" customHeight="1" x14ac:dyDescent="0.25">
      <c r="A145" s="1580" t="s">
        <v>1693</v>
      </c>
      <c r="B145" s="1581"/>
      <c r="C145" s="1581"/>
      <c r="D145" s="1581"/>
      <c r="E145" s="1581"/>
      <c r="F145" s="1582"/>
      <c r="G145" s="124"/>
      <c r="M145" s="80"/>
      <c r="N145" s="80"/>
      <c r="O145" s="80"/>
      <c r="Q145" s="80"/>
      <c r="R145" s="80"/>
      <c r="S145" s="80"/>
      <c r="T145" s="80"/>
      <c r="U145" s="80"/>
      <c r="V145" s="80"/>
      <c r="W145" s="80"/>
      <c r="X145" s="80"/>
    </row>
    <row r="146" spans="1:24" ht="18" customHeight="1" x14ac:dyDescent="0.25">
      <c r="A146" s="1586" t="s">
        <v>1694</v>
      </c>
      <c r="B146" s="1587"/>
      <c r="C146" s="1587"/>
      <c r="D146" s="1587"/>
      <c r="E146" s="1588"/>
      <c r="F146" s="173" t="s">
        <v>1695</v>
      </c>
      <c r="G146" s="124"/>
      <c r="M146" s="80"/>
      <c r="N146" s="80"/>
      <c r="O146" s="80"/>
      <c r="Q146" s="80"/>
      <c r="R146" s="80"/>
      <c r="S146" s="80"/>
      <c r="T146" s="80"/>
      <c r="U146" s="80"/>
      <c r="V146" s="80"/>
      <c r="W146" s="80"/>
      <c r="X146" s="80"/>
    </row>
    <row r="147" spans="1:24" ht="18" customHeight="1" x14ac:dyDescent="0.25">
      <c r="A147" s="1589"/>
      <c r="B147" s="1565"/>
      <c r="C147" s="1565"/>
      <c r="D147" s="1565"/>
      <c r="E147" s="1564"/>
      <c r="F147" s="170"/>
      <c r="G147" s="124"/>
      <c r="M147" s="80"/>
      <c r="N147" s="80"/>
      <c r="O147" s="80"/>
      <c r="Q147" s="80"/>
      <c r="R147" s="80"/>
      <c r="S147" s="80"/>
      <c r="T147" s="80"/>
      <c r="U147" s="80"/>
      <c r="V147" s="80"/>
      <c r="W147" s="80"/>
      <c r="X147" s="80"/>
    </row>
    <row r="148" spans="1:24" ht="18" customHeight="1" x14ac:dyDescent="0.25">
      <c r="A148" s="1574"/>
      <c r="B148" s="1554"/>
      <c r="C148" s="1554"/>
      <c r="D148" s="1554"/>
      <c r="E148" s="1553"/>
      <c r="F148" s="171"/>
      <c r="G148" s="124"/>
      <c r="M148" s="80"/>
      <c r="N148" s="80"/>
      <c r="O148" s="80"/>
      <c r="Q148" s="80"/>
      <c r="R148" s="80"/>
      <c r="S148" s="80"/>
      <c r="T148" s="80"/>
      <c r="U148" s="80"/>
      <c r="V148" s="80"/>
      <c r="W148" s="80"/>
      <c r="X148" s="80"/>
    </row>
    <row r="149" spans="1:24" ht="18" customHeight="1" x14ac:dyDescent="0.25">
      <c r="A149" s="1574"/>
      <c r="B149" s="1554"/>
      <c r="C149" s="1554"/>
      <c r="D149" s="1554"/>
      <c r="E149" s="1553"/>
      <c r="F149" s="171"/>
      <c r="G149" s="124"/>
      <c r="M149" s="80"/>
      <c r="N149" s="80"/>
      <c r="O149" s="80"/>
      <c r="Q149" s="80"/>
      <c r="R149" s="80"/>
      <c r="S149" s="80"/>
      <c r="T149" s="80"/>
      <c r="U149" s="80"/>
      <c r="V149" s="80"/>
      <c r="W149" s="80"/>
      <c r="X149" s="80"/>
    </row>
    <row r="150" spans="1:24" ht="18" customHeight="1" x14ac:dyDescent="0.25">
      <c r="A150" s="1574"/>
      <c r="B150" s="1554"/>
      <c r="C150" s="1554"/>
      <c r="D150" s="1554"/>
      <c r="E150" s="1553"/>
      <c r="F150" s="171"/>
      <c r="G150" s="124"/>
      <c r="M150" s="80"/>
      <c r="N150" s="80"/>
      <c r="O150" s="80"/>
      <c r="Q150" s="80"/>
      <c r="R150" s="80"/>
      <c r="S150" s="80"/>
      <c r="T150" s="80"/>
      <c r="U150" s="80"/>
      <c r="V150" s="80"/>
      <c r="W150" s="80"/>
      <c r="X150" s="80"/>
    </row>
    <row r="151" spans="1:24" ht="18" customHeight="1" x14ac:dyDescent="0.25">
      <c r="A151" s="1574"/>
      <c r="B151" s="1554"/>
      <c r="C151" s="1554"/>
      <c r="D151" s="1554"/>
      <c r="E151" s="1553"/>
      <c r="F151" s="171"/>
      <c r="G151" s="124"/>
      <c r="M151" s="80"/>
      <c r="N151" s="80"/>
      <c r="O151" s="80"/>
      <c r="Q151" s="80"/>
      <c r="R151" s="80"/>
      <c r="S151" s="80"/>
      <c r="T151" s="80"/>
      <c r="U151" s="80"/>
      <c r="V151" s="80"/>
      <c r="W151" s="80"/>
      <c r="X151" s="80"/>
    </row>
    <row r="152" spans="1:24" ht="18" customHeight="1" thickBot="1" x14ac:dyDescent="0.3">
      <c r="A152" s="1575"/>
      <c r="B152" s="1558"/>
      <c r="C152" s="1558"/>
      <c r="D152" s="1558"/>
      <c r="E152" s="1557"/>
      <c r="F152" s="172"/>
      <c r="G152" s="124"/>
      <c r="M152" s="80"/>
      <c r="N152" s="80"/>
      <c r="O152" s="80"/>
      <c r="Q152" s="80"/>
      <c r="R152" s="80"/>
      <c r="S152" s="80"/>
      <c r="T152" s="80"/>
      <c r="U152" s="80"/>
      <c r="V152" s="80"/>
      <c r="W152" s="80"/>
      <c r="X152" s="80"/>
    </row>
    <row r="153" spans="1:24" ht="18" customHeight="1" x14ac:dyDescent="0.25">
      <c r="A153" s="1099" t="s">
        <v>1690</v>
      </c>
      <c r="B153" s="1590"/>
      <c r="C153" s="1591" t="str">
        <f>IF(ISBLANK('Section 9| Compliance Plan'!B28),"",'Section 9| Compliance Plan'!B28)</f>
        <v/>
      </c>
      <c r="D153" s="1592"/>
      <c r="E153" s="1592"/>
      <c r="F153" s="1593"/>
      <c r="G153" s="124"/>
      <c r="M153" s="80"/>
      <c r="N153" s="80"/>
      <c r="O153" s="80"/>
      <c r="Q153" s="80"/>
      <c r="R153" s="80"/>
      <c r="S153" s="80"/>
      <c r="T153" s="80"/>
      <c r="U153" s="80"/>
      <c r="V153" s="80"/>
      <c r="W153" s="80"/>
      <c r="X153" s="80"/>
    </row>
    <row r="154" spans="1:24" ht="18" customHeight="1" x14ac:dyDescent="0.25">
      <c r="A154" s="1105" t="s">
        <v>1691</v>
      </c>
      <c r="B154" s="1576"/>
      <c r="C154" s="1577" t="str">
        <f>IF(ISBLANK('Section 9| Compliance Plan'!A28),"",'Section 9| Compliance Plan'!A28)</f>
        <v/>
      </c>
      <c r="D154" s="1578"/>
      <c r="E154" s="1578"/>
      <c r="F154" s="1579"/>
      <c r="G154" s="124"/>
      <c r="M154" s="80"/>
      <c r="N154" s="80"/>
      <c r="O154" s="80"/>
      <c r="Q154" s="80"/>
      <c r="R154" s="80"/>
      <c r="S154" s="80"/>
      <c r="T154" s="80"/>
      <c r="U154" s="80"/>
      <c r="V154" s="80"/>
      <c r="W154" s="80"/>
      <c r="X154" s="80"/>
    </row>
    <row r="155" spans="1:24" ht="18" customHeight="1" x14ac:dyDescent="0.25">
      <c r="A155" s="1580" t="s">
        <v>1692</v>
      </c>
      <c r="B155" s="1581"/>
      <c r="C155" s="1581"/>
      <c r="D155" s="1581"/>
      <c r="E155" s="1581"/>
      <c r="F155" s="1582"/>
      <c r="G155" s="124"/>
      <c r="M155" s="80"/>
      <c r="N155" s="80"/>
      <c r="O155" s="80"/>
      <c r="Q155" s="80"/>
      <c r="R155" s="80"/>
      <c r="S155" s="80"/>
      <c r="T155" s="80"/>
      <c r="U155" s="80"/>
      <c r="V155" s="80"/>
      <c r="W155" s="80"/>
      <c r="X155" s="80"/>
    </row>
    <row r="156" spans="1:24" ht="65.099999999999994" customHeight="1" x14ac:dyDescent="0.25">
      <c r="A156" s="1583"/>
      <c r="B156" s="1584"/>
      <c r="C156" s="1584"/>
      <c r="D156" s="1584"/>
      <c r="E156" s="1584"/>
      <c r="F156" s="1585"/>
      <c r="G156" s="124"/>
      <c r="M156" s="80"/>
      <c r="N156" s="80"/>
      <c r="O156" s="80"/>
      <c r="Q156" s="80"/>
      <c r="R156" s="80"/>
      <c r="S156" s="80"/>
      <c r="T156" s="80"/>
      <c r="U156" s="80"/>
      <c r="V156" s="80"/>
      <c r="W156" s="80"/>
      <c r="X156" s="80"/>
    </row>
    <row r="157" spans="1:24" ht="18" customHeight="1" x14ac:dyDescent="0.25">
      <c r="A157" s="1580" t="s">
        <v>1693</v>
      </c>
      <c r="B157" s="1581"/>
      <c r="C157" s="1581"/>
      <c r="D157" s="1581"/>
      <c r="E157" s="1581"/>
      <c r="F157" s="1582"/>
      <c r="G157" s="124"/>
      <c r="M157" s="80"/>
      <c r="N157" s="80"/>
      <c r="O157" s="80"/>
      <c r="Q157" s="80"/>
      <c r="R157" s="80"/>
      <c r="S157" s="80"/>
      <c r="T157" s="80"/>
      <c r="U157" s="80"/>
      <c r="V157" s="80"/>
      <c r="W157" s="80"/>
      <c r="X157" s="80"/>
    </row>
    <row r="158" spans="1:24" ht="18" customHeight="1" x14ac:dyDescent="0.25">
      <c r="A158" s="1586" t="s">
        <v>1694</v>
      </c>
      <c r="B158" s="1587"/>
      <c r="C158" s="1587"/>
      <c r="D158" s="1587"/>
      <c r="E158" s="1588"/>
      <c r="F158" s="173" t="s">
        <v>1695</v>
      </c>
      <c r="G158" s="124"/>
      <c r="M158" s="80"/>
      <c r="N158" s="80"/>
      <c r="O158" s="80"/>
      <c r="Q158" s="80"/>
      <c r="R158" s="80"/>
      <c r="S158" s="80"/>
      <c r="T158" s="80"/>
      <c r="U158" s="80"/>
      <c r="V158" s="80"/>
      <c r="W158" s="80"/>
      <c r="X158" s="80"/>
    </row>
    <row r="159" spans="1:24" ht="18" customHeight="1" x14ac:dyDescent="0.25">
      <c r="A159" s="1589"/>
      <c r="B159" s="1565"/>
      <c r="C159" s="1565"/>
      <c r="D159" s="1565"/>
      <c r="E159" s="1564"/>
      <c r="F159" s="170"/>
      <c r="G159" s="124"/>
      <c r="M159" s="80"/>
      <c r="N159" s="80"/>
      <c r="O159" s="80"/>
      <c r="Q159" s="80"/>
      <c r="R159" s="80"/>
      <c r="S159" s="80"/>
      <c r="T159" s="80"/>
      <c r="U159" s="80"/>
      <c r="V159" s="80"/>
      <c r="W159" s="80"/>
      <c r="X159" s="80"/>
    </row>
    <row r="160" spans="1:24" ht="18" customHeight="1" x14ac:dyDescent="0.25">
      <c r="A160" s="1574"/>
      <c r="B160" s="1554"/>
      <c r="C160" s="1554"/>
      <c r="D160" s="1554"/>
      <c r="E160" s="1553"/>
      <c r="F160" s="171"/>
      <c r="G160" s="124"/>
      <c r="M160" s="80"/>
      <c r="N160" s="80"/>
      <c r="O160" s="80"/>
      <c r="Q160" s="80"/>
      <c r="R160" s="80"/>
      <c r="S160" s="80"/>
      <c r="T160" s="80"/>
      <c r="U160" s="80"/>
      <c r="V160" s="80"/>
      <c r="W160" s="80"/>
      <c r="X160" s="80"/>
    </row>
    <row r="161" spans="1:24" ht="18" customHeight="1" x14ac:dyDescent="0.25">
      <c r="A161" s="1574"/>
      <c r="B161" s="1554"/>
      <c r="C161" s="1554"/>
      <c r="D161" s="1554"/>
      <c r="E161" s="1553"/>
      <c r="F161" s="171"/>
      <c r="G161" s="124"/>
      <c r="M161" s="80"/>
      <c r="N161" s="80"/>
      <c r="O161" s="80"/>
      <c r="Q161" s="80"/>
      <c r="R161" s="80"/>
      <c r="S161" s="80"/>
      <c r="T161" s="80"/>
      <c r="U161" s="80"/>
      <c r="V161" s="80"/>
      <c r="W161" s="80"/>
      <c r="X161" s="80"/>
    </row>
    <row r="162" spans="1:24" ht="18" customHeight="1" x14ac:dyDescent="0.25">
      <c r="A162" s="1574"/>
      <c r="B162" s="1554"/>
      <c r="C162" s="1554"/>
      <c r="D162" s="1554"/>
      <c r="E162" s="1553"/>
      <c r="F162" s="171"/>
      <c r="G162" s="124"/>
      <c r="M162" s="80"/>
      <c r="N162" s="80"/>
      <c r="O162" s="80"/>
      <c r="Q162" s="80"/>
      <c r="R162" s="80"/>
      <c r="S162" s="80"/>
      <c r="T162" s="80"/>
      <c r="U162" s="80"/>
      <c r="V162" s="80"/>
      <c r="W162" s="80"/>
      <c r="X162" s="80"/>
    </row>
    <row r="163" spans="1:24" ht="18" customHeight="1" x14ac:dyDescent="0.25">
      <c r="A163" s="1574"/>
      <c r="B163" s="1554"/>
      <c r="C163" s="1554"/>
      <c r="D163" s="1554"/>
      <c r="E163" s="1553"/>
      <c r="F163" s="171"/>
      <c r="G163" s="124"/>
      <c r="M163" s="80"/>
      <c r="N163" s="80"/>
      <c r="O163" s="80"/>
      <c r="Q163" s="80"/>
      <c r="R163" s="80"/>
      <c r="S163" s="80"/>
      <c r="T163" s="80"/>
      <c r="U163" s="80"/>
      <c r="V163" s="80"/>
      <c r="W163" s="80"/>
      <c r="X163" s="80"/>
    </row>
    <row r="164" spans="1:24" ht="18" customHeight="1" thickBot="1" x14ac:dyDescent="0.3">
      <c r="A164" s="1575"/>
      <c r="B164" s="1558"/>
      <c r="C164" s="1558"/>
      <c r="D164" s="1558"/>
      <c r="E164" s="1557"/>
      <c r="F164" s="172"/>
      <c r="G164" s="124"/>
      <c r="M164" s="80"/>
      <c r="N164" s="80"/>
      <c r="O164" s="80"/>
      <c r="Q164" s="80"/>
      <c r="R164" s="80"/>
      <c r="S164" s="80"/>
      <c r="T164" s="80"/>
      <c r="U164" s="80"/>
      <c r="V164" s="80"/>
      <c r="W164" s="80"/>
      <c r="X164" s="80"/>
    </row>
    <row r="165" spans="1:24" ht="18" customHeight="1" x14ac:dyDescent="0.25">
      <c r="A165" s="1099" t="s">
        <v>1690</v>
      </c>
      <c r="B165" s="1590"/>
      <c r="C165" s="1591" t="str">
        <f>IF(ISBLANK('Section 9| Compliance Plan'!B29),"",'Section 9| Compliance Plan'!B29)</f>
        <v/>
      </c>
      <c r="D165" s="1592"/>
      <c r="E165" s="1592"/>
      <c r="F165" s="1593"/>
      <c r="G165" s="124"/>
      <c r="M165" s="80"/>
      <c r="N165" s="80"/>
      <c r="O165" s="80"/>
      <c r="Q165" s="80"/>
      <c r="R165" s="80"/>
      <c r="S165" s="80"/>
      <c r="T165" s="80"/>
      <c r="U165" s="80"/>
      <c r="V165" s="80"/>
      <c r="W165" s="80"/>
      <c r="X165" s="80"/>
    </row>
    <row r="166" spans="1:24" ht="18" customHeight="1" x14ac:dyDescent="0.25">
      <c r="A166" s="1105" t="s">
        <v>1691</v>
      </c>
      <c r="B166" s="1576"/>
      <c r="C166" s="1577" t="str">
        <f>IF(ISBLANK('Section 9| Compliance Plan'!A29),"",'Section 9| Compliance Plan'!A29)</f>
        <v/>
      </c>
      <c r="D166" s="1578"/>
      <c r="E166" s="1578"/>
      <c r="F166" s="1579"/>
      <c r="G166" s="124"/>
      <c r="M166" s="80"/>
      <c r="N166" s="80"/>
      <c r="O166" s="80"/>
      <c r="Q166" s="80"/>
      <c r="R166" s="80"/>
      <c r="S166" s="80"/>
      <c r="T166" s="80"/>
      <c r="U166" s="80"/>
      <c r="V166" s="80"/>
      <c r="W166" s="80"/>
      <c r="X166" s="80"/>
    </row>
    <row r="167" spans="1:24" ht="18" customHeight="1" x14ac:dyDescent="0.25">
      <c r="A167" s="1580" t="s">
        <v>1692</v>
      </c>
      <c r="B167" s="1581"/>
      <c r="C167" s="1581"/>
      <c r="D167" s="1581"/>
      <c r="E167" s="1581"/>
      <c r="F167" s="1582"/>
      <c r="G167" s="124"/>
      <c r="M167" s="80"/>
      <c r="N167" s="80"/>
      <c r="O167" s="80"/>
      <c r="Q167" s="80"/>
      <c r="R167" s="80"/>
      <c r="S167" s="80"/>
      <c r="T167" s="80"/>
      <c r="U167" s="80"/>
      <c r="V167" s="80"/>
      <c r="W167" s="80"/>
      <c r="X167" s="80"/>
    </row>
    <row r="168" spans="1:24" ht="65.099999999999994" customHeight="1" x14ac:dyDescent="0.25">
      <c r="A168" s="1583"/>
      <c r="B168" s="1584"/>
      <c r="C168" s="1584"/>
      <c r="D168" s="1584"/>
      <c r="E168" s="1584"/>
      <c r="F168" s="1585"/>
      <c r="G168" s="124"/>
      <c r="M168" s="80"/>
      <c r="N168" s="80"/>
      <c r="O168" s="80"/>
      <c r="Q168" s="80"/>
      <c r="R168" s="80"/>
      <c r="S168" s="80"/>
      <c r="T168" s="80"/>
      <c r="U168" s="80"/>
      <c r="V168" s="80"/>
      <c r="W168" s="80"/>
      <c r="X168" s="80"/>
    </row>
    <row r="169" spans="1:24" ht="18" customHeight="1" x14ac:dyDescent="0.25">
      <c r="A169" s="1580" t="s">
        <v>1693</v>
      </c>
      <c r="B169" s="1581"/>
      <c r="C169" s="1581"/>
      <c r="D169" s="1581"/>
      <c r="E169" s="1581"/>
      <c r="F169" s="1582"/>
      <c r="G169" s="124"/>
      <c r="M169" s="80"/>
      <c r="N169" s="80"/>
      <c r="O169" s="80"/>
      <c r="Q169" s="80"/>
      <c r="R169" s="80"/>
      <c r="S169" s="80"/>
      <c r="T169" s="80"/>
      <c r="U169" s="80"/>
      <c r="V169" s="80"/>
      <c r="W169" s="80"/>
      <c r="X169" s="80"/>
    </row>
    <row r="170" spans="1:24" ht="18" customHeight="1" x14ac:dyDescent="0.25">
      <c r="A170" s="1586" t="s">
        <v>1694</v>
      </c>
      <c r="B170" s="1587"/>
      <c r="C170" s="1587"/>
      <c r="D170" s="1587"/>
      <c r="E170" s="1588"/>
      <c r="F170" s="173" t="s">
        <v>1695</v>
      </c>
      <c r="G170" s="124"/>
      <c r="M170" s="80"/>
      <c r="N170" s="80"/>
      <c r="O170" s="80"/>
      <c r="Q170" s="80"/>
      <c r="R170" s="80"/>
      <c r="S170" s="80"/>
      <c r="T170" s="80"/>
      <c r="U170" s="80"/>
      <c r="V170" s="80"/>
      <c r="W170" s="80"/>
      <c r="X170" s="80"/>
    </row>
    <row r="171" spans="1:24" ht="18" customHeight="1" x14ac:dyDescent="0.25">
      <c r="A171" s="1589"/>
      <c r="B171" s="1565"/>
      <c r="C171" s="1565"/>
      <c r="D171" s="1565"/>
      <c r="E171" s="1564"/>
      <c r="F171" s="170"/>
      <c r="G171" s="124"/>
      <c r="M171" s="80"/>
      <c r="N171" s="80"/>
      <c r="O171" s="80"/>
      <c r="Q171" s="80"/>
      <c r="R171" s="80"/>
      <c r="S171" s="80"/>
      <c r="T171" s="80"/>
      <c r="U171" s="80"/>
      <c r="V171" s="80"/>
      <c r="W171" s="80"/>
      <c r="X171" s="80"/>
    </row>
    <row r="172" spans="1:24" ht="18" customHeight="1" x14ac:dyDescent="0.25">
      <c r="A172" s="1574"/>
      <c r="B172" s="1554"/>
      <c r="C172" s="1554"/>
      <c r="D172" s="1554"/>
      <c r="E172" s="1553"/>
      <c r="F172" s="171"/>
      <c r="G172" s="124"/>
      <c r="M172" s="80"/>
      <c r="N172" s="80"/>
      <c r="O172" s="80"/>
      <c r="Q172" s="80"/>
      <c r="R172" s="80"/>
      <c r="S172" s="80"/>
      <c r="T172" s="80"/>
      <c r="U172" s="80"/>
      <c r="V172" s="80"/>
      <c r="W172" s="80"/>
      <c r="X172" s="80"/>
    </row>
    <row r="173" spans="1:24" ht="18" customHeight="1" x14ac:dyDescent="0.25">
      <c r="A173" s="1574"/>
      <c r="B173" s="1554"/>
      <c r="C173" s="1554"/>
      <c r="D173" s="1554"/>
      <c r="E173" s="1553"/>
      <c r="F173" s="171"/>
      <c r="G173" s="124"/>
      <c r="M173" s="80"/>
      <c r="N173" s="80"/>
      <c r="O173" s="80"/>
      <c r="Q173" s="80"/>
      <c r="R173" s="80"/>
      <c r="S173" s="80"/>
      <c r="T173" s="80"/>
      <c r="U173" s="80"/>
      <c r="V173" s="80"/>
      <c r="W173" s="80"/>
      <c r="X173" s="80"/>
    </row>
    <row r="174" spans="1:24" ht="18" customHeight="1" x14ac:dyDescent="0.25">
      <c r="A174" s="1574"/>
      <c r="B174" s="1554"/>
      <c r="C174" s="1554"/>
      <c r="D174" s="1554"/>
      <c r="E174" s="1553"/>
      <c r="F174" s="171"/>
      <c r="G174" s="124"/>
      <c r="M174" s="80"/>
      <c r="N174" s="80"/>
      <c r="O174" s="80"/>
      <c r="Q174" s="80"/>
      <c r="R174" s="80"/>
      <c r="S174" s="80"/>
      <c r="T174" s="80"/>
      <c r="U174" s="80"/>
      <c r="V174" s="80"/>
      <c r="W174" s="80"/>
      <c r="X174" s="80"/>
    </row>
    <row r="175" spans="1:24" ht="18" customHeight="1" x14ac:dyDescent="0.25">
      <c r="A175" s="1574"/>
      <c r="B175" s="1554"/>
      <c r="C175" s="1554"/>
      <c r="D175" s="1554"/>
      <c r="E175" s="1553"/>
      <c r="F175" s="171"/>
      <c r="G175" s="124"/>
      <c r="M175" s="80"/>
      <c r="N175" s="80"/>
      <c r="O175" s="80"/>
      <c r="Q175" s="80"/>
      <c r="R175" s="80"/>
      <c r="S175" s="80"/>
      <c r="T175" s="80"/>
      <c r="U175" s="80"/>
      <c r="V175" s="80"/>
      <c r="W175" s="80"/>
      <c r="X175" s="80"/>
    </row>
    <row r="176" spans="1:24" ht="18" customHeight="1" thickBot="1" x14ac:dyDescent="0.3">
      <c r="A176" s="1575"/>
      <c r="B176" s="1558"/>
      <c r="C176" s="1558"/>
      <c r="D176" s="1558"/>
      <c r="E176" s="1557"/>
      <c r="F176" s="172"/>
      <c r="G176" s="124"/>
      <c r="M176" s="80"/>
      <c r="N176" s="80"/>
      <c r="O176" s="80"/>
      <c r="Q176" s="80"/>
      <c r="R176" s="80"/>
      <c r="S176" s="80"/>
      <c r="T176" s="80"/>
      <c r="U176" s="80"/>
      <c r="V176" s="80"/>
      <c r="W176" s="80"/>
      <c r="X176" s="80"/>
    </row>
    <row r="177" spans="1:24" ht="18" customHeight="1" x14ac:dyDescent="0.25">
      <c r="A177" s="1099" t="s">
        <v>1690</v>
      </c>
      <c r="B177" s="1590"/>
      <c r="C177" s="1591" t="str">
        <f>IF(ISBLANK('Section 9| Compliance Plan'!B30),"",'Section 9| Compliance Plan'!B30)</f>
        <v/>
      </c>
      <c r="D177" s="1592"/>
      <c r="E177" s="1592"/>
      <c r="F177" s="1593"/>
      <c r="G177" s="124"/>
      <c r="M177" s="80"/>
      <c r="N177" s="80"/>
      <c r="O177" s="80"/>
      <c r="Q177" s="80"/>
      <c r="R177" s="80"/>
      <c r="S177" s="80"/>
      <c r="T177" s="80"/>
      <c r="U177" s="80"/>
      <c r="V177" s="80"/>
      <c r="W177" s="80"/>
      <c r="X177" s="80"/>
    </row>
    <row r="178" spans="1:24" ht="18" customHeight="1" x14ac:dyDescent="0.25">
      <c r="A178" s="1105" t="s">
        <v>1691</v>
      </c>
      <c r="B178" s="1576"/>
      <c r="C178" s="1577" t="str">
        <f>IF(ISBLANK('Section 9| Compliance Plan'!A30),"",'Section 9| Compliance Plan'!A30)</f>
        <v/>
      </c>
      <c r="D178" s="1578"/>
      <c r="E178" s="1578"/>
      <c r="F178" s="1579"/>
      <c r="G178" s="124"/>
      <c r="M178" s="80"/>
      <c r="N178" s="80"/>
      <c r="O178" s="80"/>
      <c r="Q178" s="80"/>
      <c r="R178" s="80"/>
      <c r="S178" s="80"/>
      <c r="T178" s="80"/>
      <c r="U178" s="80"/>
      <c r="V178" s="80"/>
      <c r="W178" s="80"/>
      <c r="X178" s="80"/>
    </row>
    <row r="179" spans="1:24" ht="18" customHeight="1" x14ac:dyDescent="0.25">
      <c r="A179" s="1580" t="s">
        <v>1692</v>
      </c>
      <c r="B179" s="1581"/>
      <c r="C179" s="1581"/>
      <c r="D179" s="1581"/>
      <c r="E179" s="1581"/>
      <c r="F179" s="1582"/>
      <c r="G179" s="124"/>
      <c r="M179" s="80"/>
      <c r="N179" s="80"/>
      <c r="O179" s="80"/>
      <c r="Q179" s="80"/>
      <c r="R179" s="80"/>
      <c r="S179" s="80"/>
      <c r="T179" s="80"/>
      <c r="U179" s="80"/>
      <c r="V179" s="80"/>
      <c r="W179" s="80"/>
      <c r="X179" s="80"/>
    </row>
    <row r="180" spans="1:24" ht="65.099999999999994" customHeight="1" x14ac:dyDescent="0.25">
      <c r="A180" s="1583"/>
      <c r="B180" s="1584"/>
      <c r="C180" s="1584"/>
      <c r="D180" s="1584"/>
      <c r="E180" s="1584"/>
      <c r="F180" s="1585"/>
      <c r="G180" s="124"/>
      <c r="M180" s="80"/>
      <c r="N180" s="80"/>
      <c r="O180" s="80"/>
      <c r="Q180" s="80"/>
      <c r="R180" s="80"/>
      <c r="S180" s="80"/>
      <c r="T180" s="80"/>
      <c r="U180" s="80"/>
      <c r="V180" s="80"/>
      <c r="W180" s="80"/>
      <c r="X180" s="80"/>
    </row>
    <row r="181" spans="1:24" ht="18" customHeight="1" x14ac:dyDescent="0.25">
      <c r="A181" s="1580" t="s">
        <v>1693</v>
      </c>
      <c r="B181" s="1581"/>
      <c r="C181" s="1581"/>
      <c r="D181" s="1581"/>
      <c r="E181" s="1581"/>
      <c r="F181" s="1582"/>
      <c r="G181" s="124"/>
      <c r="M181" s="80"/>
      <c r="N181" s="80"/>
      <c r="O181" s="80"/>
      <c r="Q181" s="80"/>
      <c r="R181" s="80"/>
      <c r="S181" s="80"/>
      <c r="T181" s="80"/>
      <c r="U181" s="80"/>
      <c r="V181" s="80"/>
      <c r="W181" s="80"/>
      <c r="X181" s="80"/>
    </row>
    <row r="182" spans="1:24" ht="18" customHeight="1" x14ac:dyDescent="0.25">
      <c r="A182" s="1586" t="s">
        <v>1694</v>
      </c>
      <c r="B182" s="1587"/>
      <c r="C182" s="1587"/>
      <c r="D182" s="1587"/>
      <c r="E182" s="1588"/>
      <c r="F182" s="173" t="s">
        <v>1695</v>
      </c>
      <c r="G182" s="124"/>
      <c r="M182" s="80"/>
      <c r="N182" s="80"/>
      <c r="O182" s="80"/>
      <c r="Q182" s="80"/>
      <c r="R182" s="80"/>
      <c r="S182" s="80"/>
      <c r="T182" s="80"/>
      <c r="U182" s="80"/>
      <c r="V182" s="80"/>
      <c r="W182" s="80"/>
      <c r="X182" s="80"/>
    </row>
    <row r="183" spans="1:24" ht="18" customHeight="1" x14ac:dyDescent="0.25">
      <c r="A183" s="1589"/>
      <c r="B183" s="1565"/>
      <c r="C183" s="1565"/>
      <c r="D183" s="1565"/>
      <c r="E183" s="1564"/>
      <c r="F183" s="170"/>
      <c r="G183" s="124"/>
      <c r="M183" s="80"/>
      <c r="N183" s="80"/>
      <c r="O183" s="80"/>
      <c r="Q183" s="80"/>
      <c r="R183" s="80"/>
      <c r="S183" s="80"/>
      <c r="T183" s="80"/>
      <c r="U183" s="80"/>
      <c r="V183" s="80"/>
      <c r="W183" s="80"/>
      <c r="X183" s="80"/>
    </row>
    <row r="184" spans="1:24" ht="18" customHeight="1" x14ac:dyDescent="0.25">
      <c r="A184" s="1574"/>
      <c r="B184" s="1554"/>
      <c r="C184" s="1554"/>
      <c r="D184" s="1554"/>
      <c r="E184" s="1553"/>
      <c r="F184" s="171"/>
      <c r="G184" s="124"/>
      <c r="M184" s="80"/>
      <c r="N184" s="80"/>
      <c r="O184" s="80"/>
      <c r="Q184" s="80"/>
      <c r="R184" s="80"/>
      <c r="S184" s="80"/>
      <c r="T184" s="80"/>
      <c r="U184" s="80"/>
      <c r="V184" s="80"/>
      <c r="W184" s="80"/>
      <c r="X184" s="80"/>
    </row>
    <row r="185" spans="1:24" ht="18" customHeight="1" x14ac:dyDescent="0.25">
      <c r="A185" s="1574"/>
      <c r="B185" s="1554"/>
      <c r="C185" s="1554"/>
      <c r="D185" s="1554"/>
      <c r="E185" s="1553"/>
      <c r="F185" s="171"/>
      <c r="G185" s="124"/>
      <c r="M185" s="80"/>
      <c r="N185" s="80"/>
      <c r="O185" s="80"/>
      <c r="Q185" s="80"/>
      <c r="R185" s="80"/>
      <c r="S185" s="80"/>
      <c r="T185" s="80"/>
      <c r="U185" s="80"/>
      <c r="V185" s="80"/>
      <c r="W185" s="80"/>
      <c r="X185" s="80"/>
    </row>
    <row r="186" spans="1:24" ht="18" customHeight="1" x14ac:dyDescent="0.25">
      <c r="A186" s="1574"/>
      <c r="B186" s="1554"/>
      <c r="C186" s="1554"/>
      <c r="D186" s="1554"/>
      <c r="E186" s="1553"/>
      <c r="F186" s="171"/>
      <c r="G186" s="124"/>
      <c r="M186" s="80"/>
      <c r="N186" s="80"/>
      <c r="O186" s="80"/>
      <c r="Q186" s="80"/>
      <c r="R186" s="80"/>
      <c r="S186" s="80"/>
      <c r="T186" s="80"/>
      <c r="U186" s="80"/>
      <c r="V186" s="80"/>
      <c r="W186" s="80"/>
      <c r="X186" s="80"/>
    </row>
    <row r="187" spans="1:24" ht="18" customHeight="1" x14ac:dyDescent="0.25">
      <c r="A187" s="1574"/>
      <c r="B187" s="1554"/>
      <c r="C187" s="1554"/>
      <c r="D187" s="1554"/>
      <c r="E187" s="1553"/>
      <c r="F187" s="171"/>
      <c r="G187" s="124"/>
      <c r="M187" s="80"/>
      <c r="N187" s="80"/>
      <c r="O187" s="80"/>
      <c r="Q187" s="80"/>
      <c r="R187" s="80"/>
      <c r="S187" s="80"/>
      <c r="T187" s="80"/>
      <c r="U187" s="80"/>
      <c r="V187" s="80"/>
      <c r="W187" s="80"/>
      <c r="X187" s="80"/>
    </row>
    <row r="188" spans="1:24" ht="18" customHeight="1" thickBot="1" x14ac:dyDescent="0.3">
      <c r="A188" s="1575"/>
      <c r="B188" s="1558"/>
      <c r="C188" s="1558"/>
      <c r="D188" s="1558"/>
      <c r="E188" s="1557"/>
      <c r="F188" s="172"/>
      <c r="G188" s="124"/>
      <c r="M188" s="80"/>
      <c r="N188" s="80"/>
      <c r="O188" s="80"/>
      <c r="Q188" s="80"/>
      <c r="R188" s="80"/>
      <c r="S188" s="80"/>
      <c r="T188" s="80"/>
      <c r="U188" s="80"/>
      <c r="V188" s="80"/>
      <c r="W188" s="80"/>
      <c r="X188" s="80"/>
    </row>
  </sheetData>
  <sheetProtection algorithmName="SHA-512" hashValue="viBJTqUIJL87CDOobk2FN6ZjoYh1sm4cTiVQhArtWZgXE10OKfPg22pzUQ4v/FOwoKSEBf8VU1kvHRR+jwZdeg==" saltValue="PwtmQm3C6cTED4CSuswT3g==" spinCount="100000" sheet="1" objects="1" scenarios="1"/>
  <mergeCells count="218">
    <mergeCell ref="A102:E102"/>
    <mergeCell ref="A103:E103"/>
    <mergeCell ref="A104:E104"/>
    <mergeCell ref="A105:B105"/>
    <mergeCell ref="C105:F105"/>
    <mergeCell ref="A106:B106"/>
    <mergeCell ref="C106:F106"/>
    <mergeCell ref="A107:F107"/>
    <mergeCell ref="A108:F108"/>
    <mergeCell ref="A118:B118"/>
    <mergeCell ref="C118:F118"/>
    <mergeCell ref="A119:F119"/>
    <mergeCell ref="A120:F120"/>
    <mergeCell ref="A109:F109"/>
    <mergeCell ref="A110:E110"/>
    <mergeCell ref="A111:E111"/>
    <mergeCell ref="A112:E112"/>
    <mergeCell ref="A113:E113"/>
    <mergeCell ref="A114:E114"/>
    <mergeCell ref="A115:E115"/>
    <mergeCell ref="A116:E116"/>
    <mergeCell ref="A117:B117"/>
    <mergeCell ref="C117:F117"/>
    <mergeCell ref="A94:B94"/>
    <mergeCell ref="C94:F94"/>
    <mergeCell ref="A95:F95"/>
    <mergeCell ref="A96:F96"/>
    <mergeCell ref="A97:F97"/>
    <mergeCell ref="A98:E98"/>
    <mergeCell ref="A99:E99"/>
    <mergeCell ref="A100:E100"/>
    <mergeCell ref="A101:E101"/>
    <mergeCell ref="A85:F85"/>
    <mergeCell ref="A86:E86"/>
    <mergeCell ref="A87:E87"/>
    <mergeCell ref="A88:E88"/>
    <mergeCell ref="A89:E89"/>
    <mergeCell ref="A90:E90"/>
    <mergeCell ref="A91:E91"/>
    <mergeCell ref="A92:E92"/>
    <mergeCell ref="A93:B93"/>
    <mergeCell ref="C93:F93"/>
    <mergeCell ref="A78:E78"/>
    <mergeCell ref="A79:E79"/>
    <mergeCell ref="A80:E80"/>
    <mergeCell ref="A81:B81"/>
    <mergeCell ref="C81:F81"/>
    <mergeCell ref="A82:B82"/>
    <mergeCell ref="C82:F82"/>
    <mergeCell ref="A83:F83"/>
    <mergeCell ref="A84:F84"/>
    <mergeCell ref="A70:B70"/>
    <mergeCell ref="C70:F70"/>
    <mergeCell ref="A71:F71"/>
    <mergeCell ref="A72:F72"/>
    <mergeCell ref="A73:F73"/>
    <mergeCell ref="A74:E74"/>
    <mergeCell ref="A75:E75"/>
    <mergeCell ref="A76:E76"/>
    <mergeCell ref="A77:E77"/>
    <mergeCell ref="A61:F61"/>
    <mergeCell ref="A62:E62"/>
    <mergeCell ref="A63:E63"/>
    <mergeCell ref="A64:E64"/>
    <mergeCell ref="A65:E65"/>
    <mergeCell ref="A66:E66"/>
    <mergeCell ref="A67:E67"/>
    <mergeCell ref="A68:E68"/>
    <mergeCell ref="A69:B69"/>
    <mergeCell ref="C69:F69"/>
    <mergeCell ref="A54:E54"/>
    <mergeCell ref="A55:E55"/>
    <mergeCell ref="A56:E56"/>
    <mergeCell ref="A57:B57"/>
    <mergeCell ref="C57:F57"/>
    <mergeCell ref="A58:B58"/>
    <mergeCell ref="C58:F58"/>
    <mergeCell ref="A59:F59"/>
    <mergeCell ref="A60:F60"/>
    <mergeCell ref="A46:B46"/>
    <mergeCell ref="C46:F46"/>
    <mergeCell ref="A47:F47"/>
    <mergeCell ref="A48:F48"/>
    <mergeCell ref="A49:F49"/>
    <mergeCell ref="A50:E50"/>
    <mergeCell ref="A51:E51"/>
    <mergeCell ref="A52:E52"/>
    <mergeCell ref="A53:E53"/>
    <mergeCell ref="A37:F37"/>
    <mergeCell ref="A38:E38"/>
    <mergeCell ref="A39:E39"/>
    <mergeCell ref="A40:E40"/>
    <mergeCell ref="A41:E41"/>
    <mergeCell ref="A42:E42"/>
    <mergeCell ref="A43:E43"/>
    <mergeCell ref="A44:E44"/>
    <mergeCell ref="A45:B45"/>
    <mergeCell ref="C45:F45"/>
    <mergeCell ref="A30:E30"/>
    <mergeCell ref="A31:E31"/>
    <mergeCell ref="A32:E32"/>
    <mergeCell ref="A33:B33"/>
    <mergeCell ref="C33:F33"/>
    <mergeCell ref="A34:B34"/>
    <mergeCell ref="C34:F34"/>
    <mergeCell ref="A35:F35"/>
    <mergeCell ref="A36:F36"/>
    <mergeCell ref="A22:B22"/>
    <mergeCell ref="C22:F22"/>
    <mergeCell ref="A23:F23"/>
    <mergeCell ref="A24:F24"/>
    <mergeCell ref="A25:F25"/>
    <mergeCell ref="A26:E26"/>
    <mergeCell ref="A27:E27"/>
    <mergeCell ref="A28:E28"/>
    <mergeCell ref="A29:E29"/>
    <mergeCell ref="A1:K1"/>
    <mergeCell ref="A2:K2"/>
    <mergeCell ref="A3:K3"/>
    <mergeCell ref="A5:L5"/>
    <mergeCell ref="A4:K4"/>
    <mergeCell ref="A6:K6"/>
    <mergeCell ref="A7:F7"/>
    <mergeCell ref="A21:B21"/>
    <mergeCell ref="C21:F21"/>
    <mergeCell ref="A10:B10"/>
    <mergeCell ref="A9:B9"/>
    <mergeCell ref="C10:F10"/>
    <mergeCell ref="C9:F9"/>
    <mergeCell ref="A12:F12"/>
    <mergeCell ref="A11:F11"/>
    <mergeCell ref="A13:F13"/>
    <mergeCell ref="A20:E20"/>
    <mergeCell ref="A19:E19"/>
    <mergeCell ref="A18:E18"/>
    <mergeCell ref="A17:E17"/>
    <mergeCell ref="A16:E16"/>
    <mergeCell ref="A15:E15"/>
    <mergeCell ref="A14:E14"/>
    <mergeCell ref="A8:E8"/>
    <mergeCell ref="A121:F121"/>
    <mergeCell ref="A122:E122"/>
    <mergeCell ref="A123:E123"/>
    <mergeCell ref="A124:E124"/>
    <mergeCell ref="A125:E125"/>
    <mergeCell ref="A126:E126"/>
    <mergeCell ref="A127:E127"/>
    <mergeCell ref="A128:E128"/>
    <mergeCell ref="A129:B129"/>
    <mergeCell ref="C129:F129"/>
    <mergeCell ref="A130:B130"/>
    <mergeCell ref="C130:F130"/>
    <mergeCell ref="A131:F131"/>
    <mergeCell ref="A132:F132"/>
    <mergeCell ref="A133:F133"/>
    <mergeCell ref="A134:E134"/>
    <mergeCell ref="A135:E135"/>
    <mergeCell ref="A136:E136"/>
    <mergeCell ref="A137:E137"/>
    <mergeCell ref="A138:E138"/>
    <mergeCell ref="A139:E139"/>
    <mergeCell ref="A140:E140"/>
    <mergeCell ref="A141:B141"/>
    <mergeCell ref="C141:F141"/>
    <mergeCell ref="A142:B142"/>
    <mergeCell ref="C142:F142"/>
    <mergeCell ref="A143:F143"/>
    <mergeCell ref="A144:F144"/>
    <mergeCell ref="A145:F145"/>
    <mergeCell ref="A146:E146"/>
    <mergeCell ref="A147:E147"/>
    <mergeCell ref="A148:E148"/>
    <mergeCell ref="A149:E149"/>
    <mergeCell ref="A150:E150"/>
    <mergeCell ref="A151:E151"/>
    <mergeCell ref="A152:E152"/>
    <mergeCell ref="A153:B153"/>
    <mergeCell ref="C153:F153"/>
    <mergeCell ref="A154:B154"/>
    <mergeCell ref="C154:F154"/>
    <mergeCell ref="A155:F155"/>
    <mergeCell ref="A156:F156"/>
    <mergeCell ref="A157:F157"/>
    <mergeCell ref="A158:E158"/>
    <mergeCell ref="A159:E159"/>
    <mergeCell ref="A160:E160"/>
    <mergeCell ref="A161:E161"/>
    <mergeCell ref="A162:E162"/>
    <mergeCell ref="A163:E163"/>
    <mergeCell ref="A164:E164"/>
    <mergeCell ref="A165:B165"/>
    <mergeCell ref="C165:F165"/>
    <mergeCell ref="A166:B166"/>
    <mergeCell ref="C166:F166"/>
    <mergeCell ref="A167:F167"/>
    <mergeCell ref="A168:F168"/>
    <mergeCell ref="A169:F169"/>
    <mergeCell ref="A170:E170"/>
    <mergeCell ref="A171:E171"/>
    <mergeCell ref="A172:E172"/>
    <mergeCell ref="A173:E173"/>
    <mergeCell ref="A174:E174"/>
    <mergeCell ref="A175:E175"/>
    <mergeCell ref="A176:E176"/>
    <mergeCell ref="A177:B177"/>
    <mergeCell ref="C177:F177"/>
    <mergeCell ref="A186:E186"/>
    <mergeCell ref="A187:E187"/>
    <mergeCell ref="A188:E188"/>
    <mergeCell ref="A178:B178"/>
    <mergeCell ref="C178:F178"/>
    <mergeCell ref="A179:F179"/>
    <mergeCell ref="A180:F180"/>
    <mergeCell ref="A181:F181"/>
    <mergeCell ref="A182:E182"/>
    <mergeCell ref="A183:E183"/>
    <mergeCell ref="A184:E184"/>
    <mergeCell ref="A185:E185"/>
  </mergeCells>
  <conditionalFormatting sqref="A12:F12">
    <cfRule type="expression" dxfId="24" priority="47">
      <formula>AND(NOT(C9=""),NOT(C10=""),ISBLANK(A12))</formula>
    </cfRule>
  </conditionalFormatting>
  <conditionalFormatting sqref="A24:F24">
    <cfRule type="expression" dxfId="23" priority="14">
      <formula>AND(NOT(C21=""),NOT(C22=""),ISBLANK(A24))</formula>
    </cfRule>
  </conditionalFormatting>
  <conditionalFormatting sqref="A36:F36">
    <cfRule type="expression" dxfId="22" priority="13">
      <formula>AND(NOT(C33=""),NOT(C34=""),ISBLANK(A36))</formula>
    </cfRule>
  </conditionalFormatting>
  <conditionalFormatting sqref="A48:F48">
    <cfRule type="expression" dxfId="21" priority="12">
      <formula>AND(NOT(C45=""),NOT(C46=""),ISBLANK(A48))</formula>
    </cfRule>
  </conditionalFormatting>
  <conditionalFormatting sqref="A60:F60">
    <cfRule type="expression" dxfId="20" priority="11">
      <formula>AND(NOT(C57=""),NOT(C58=""),ISBLANK(A60))</formula>
    </cfRule>
  </conditionalFormatting>
  <conditionalFormatting sqref="A72:F72">
    <cfRule type="expression" dxfId="19" priority="10">
      <formula>AND(NOT(C69=""),NOT(C70=""),ISBLANK(A72))</formula>
    </cfRule>
  </conditionalFormatting>
  <conditionalFormatting sqref="A84:F84">
    <cfRule type="expression" dxfId="18" priority="9">
      <formula>AND(NOT(C81=""),NOT(C82=""),ISBLANK(A84))</formula>
    </cfRule>
  </conditionalFormatting>
  <conditionalFormatting sqref="A96:F96">
    <cfRule type="expression" dxfId="17" priority="8">
      <formula>AND(NOT(C93=""),NOT(C94=""),ISBLANK(A96))</formula>
    </cfRule>
  </conditionalFormatting>
  <conditionalFormatting sqref="A108:F108">
    <cfRule type="expression" dxfId="16" priority="7">
      <formula>AND(NOT(C105=""),NOT(C106=""),ISBLANK(A108))</formula>
    </cfRule>
  </conditionalFormatting>
  <conditionalFormatting sqref="A120:F120">
    <cfRule type="expression" dxfId="15" priority="6">
      <formula>AND(NOT(C117=""),NOT(C118=""),ISBLANK(A120))</formula>
    </cfRule>
  </conditionalFormatting>
  <conditionalFormatting sqref="A132:F132">
    <cfRule type="expression" dxfId="14" priority="5">
      <formula>AND(NOT(C129=""),NOT(C130=""),ISBLANK(A132))</formula>
    </cfRule>
  </conditionalFormatting>
  <conditionalFormatting sqref="A144:F144">
    <cfRule type="expression" dxfId="13" priority="4">
      <formula>AND(NOT(C141=""),NOT(C142=""),ISBLANK(A144))</formula>
    </cfRule>
  </conditionalFormatting>
  <conditionalFormatting sqref="A156:F156">
    <cfRule type="expression" dxfId="12" priority="3">
      <formula>AND(NOT(C153=""),NOT(C154=""),ISBLANK(A156))</formula>
    </cfRule>
  </conditionalFormatting>
  <conditionalFormatting sqref="A168:F168">
    <cfRule type="expression" dxfId="11" priority="2">
      <formula>AND(NOT(C165=""),NOT(C166=""),ISBLANK(A168))</formula>
    </cfRule>
  </conditionalFormatting>
  <conditionalFormatting sqref="A180:F180">
    <cfRule type="expression" dxfId="10" priority="1">
      <formula>AND(NOT(C177=""),NOT(C178=""),ISBLANK(A180))</formula>
    </cfRule>
  </conditionalFormatting>
  <printOptions horizontalCentered="1"/>
  <pageMargins left="0.5" right="0.5" top="0.5" bottom="0.5" header="0.3" footer="0.3"/>
  <pageSetup scale="83" fitToHeight="0" orientation="portrait" r:id="rId1"/>
  <headerFooter>
    <oddFooter xml:space="preserve">&amp;L&amp;A&amp;RPage &amp;P </oddFooter>
  </headerFooter>
  <rowBreaks count="4" manualBreakCount="4">
    <brk id="44" max="5" man="1"/>
    <brk id="80" max="5" man="1"/>
    <brk id="116" max="5" man="1"/>
    <brk id="152" max="5" man="1"/>
  </rowBreaks>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tabColor rgb="FFFFFF00"/>
    <pageSetUpPr fitToPage="1"/>
  </sheetPr>
  <dimension ref="A1:X90"/>
  <sheetViews>
    <sheetView showGridLines="0" zoomScaleNormal="100" workbookViewId="0">
      <selection sqref="A1:H1"/>
    </sheetView>
  </sheetViews>
  <sheetFormatPr defaultRowHeight="20.100000000000001" customHeight="1" x14ac:dyDescent="0.25"/>
  <cols>
    <col min="1" max="3" width="18.28515625" style="48" customWidth="1"/>
    <col min="4" max="4" width="13.7109375" style="48" customWidth="1"/>
    <col min="5" max="5" width="38" style="48" customWidth="1"/>
    <col min="6" max="6" width="15.42578125" style="48" customWidth="1"/>
    <col min="7" max="7" width="56.140625" style="48" customWidth="1"/>
    <col min="8" max="8" width="6.7109375" style="48" customWidth="1"/>
    <col min="9" max="12" width="10.7109375" style="48" customWidth="1"/>
    <col min="13" max="16" width="9.140625" style="48" customWidth="1"/>
    <col min="17" max="17" width="9.140625" style="48"/>
    <col min="18" max="18" width="9.140625" style="48" customWidth="1"/>
    <col min="19" max="16384" width="9.140625" style="48"/>
  </cols>
  <sheetData>
    <row r="1" spans="1:24" s="69" customFormat="1" ht="26.25" customHeight="1" thickBot="1" x14ac:dyDescent="0.3">
      <c r="A1" s="1255" t="s">
        <v>1735</v>
      </c>
      <c r="B1" s="1255"/>
      <c r="C1" s="1255"/>
      <c r="D1" s="1255"/>
      <c r="E1" s="1255"/>
      <c r="F1" s="1255"/>
      <c r="G1" s="1255"/>
      <c r="H1" s="1255"/>
      <c r="I1" s="79"/>
      <c r="J1" s="79"/>
      <c r="K1" s="79"/>
      <c r="L1" s="79"/>
    </row>
    <row r="2" spans="1:24" s="160" customFormat="1" ht="35.1" customHeight="1" x14ac:dyDescent="0.25">
      <c r="A2" s="1310" t="s">
        <v>1824</v>
      </c>
      <c r="B2" s="1310"/>
      <c r="C2" s="1310"/>
      <c r="D2" s="1310"/>
      <c r="E2" s="1310"/>
      <c r="F2" s="1310"/>
      <c r="G2" s="1310"/>
      <c r="H2" s="163"/>
      <c r="I2" s="163"/>
      <c r="J2" s="163"/>
      <c r="K2" s="163"/>
      <c r="L2" s="163"/>
    </row>
    <row r="3" spans="1:24" s="160" customFormat="1" ht="20.100000000000001" customHeight="1" x14ac:dyDescent="0.25">
      <c r="A3" s="1607" t="s">
        <v>1736</v>
      </c>
      <c r="B3" s="1607"/>
      <c r="C3" s="1607"/>
      <c r="D3" s="1607"/>
      <c r="E3" s="1607"/>
      <c r="F3" s="1607"/>
      <c r="G3" s="1607"/>
      <c r="H3" s="219"/>
      <c r="I3" s="219"/>
      <c r="J3" s="219"/>
      <c r="K3" s="219"/>
      <c r="L3" s="219"/>
    </row>
    <row r="4" spans="1:24" s="160" customFormat="1" ht="20.100000000000001" customHeight="1" x14ac:dyDescent="0.25">
      <c r="A4" s="1607" t="s">
        <v>1737</v>
      </c>
      <c r="B4" s="1607"/>
      <c r="C4" s="1607"/>
      <c r="D4" s="1607"/>
      <c r="E4" s="1607"/>
      <c r="F4" s="1607"/>
      <c r="G4" s="1607"/>
      <c r="H4" s="219"/>
      <c r="I4" s="219"/>
      <c r="J4" s="219"/>
      <c r="K4" s="219"/>
      <c r="L4" s="219"/>
    </row>
    <row r="5" spans="1:24" s="160" customFormat="1" ht="35.1" customHeight="1" thickBot="1" x14ac:dyDescent="0.3">
      <c r="A5" s="1316" t="s">
        <v>1823</v>
      </c>
      <c r="B5" s="1316"/>
      <c r="C5" s="1316"/>
      <c r="D5" s="1316"/>
      <c r="E5" s="1316"/>
      <c r="F5" s="1316"/>
      <c r="G5" s="1316"/>
      <c r="H5" s="462"/>
      <c r="I5" s="213"/>
      <c r="J5" s="213"/>
      <c r="K5" s="213"/>
      <c r="L5" s="213"/>
    </row>
    <row r="6" spans="1:24" s="77" customFormat="1" ht="19.5" thickBot="1" x14ac:dyDescent="0.3">
      <c r="A6" s="1211" t="s">
        <v>1688</v>
      </c>
      <c r="B6" s="1211"/>
      <c r="C6" s="1211"/>
      <c r="D6" s="1211"/>
      <c r="E6" s="1211"/>
      <c r="F6" s="1211"/>
      <c r="G6" s="1211"/>
      <c r="H6" s="1211"/>
      <c r="I6" s="90"/>
      <c r="J6" s="90"/>
      <c r="K6" s="90"/>
      <c r="L6" s="90"/>
    </row>
    <row r="7" spans="1:24" ht="60" customHeight="1" x14ac:dyDescent="0.25">
      <c r="A7" s="1151"/>
      <c r="B7" s="1151"/>
      <c r="C7" s="1151"/>
      <c r="D7" s="1151"/>
      <c r="E7" s="1151"/>
      <c r="F7" s="1151"/>
    </row>
    <row r="8" spans="1:24" ht="24.95" customHeight="1" thickBot="1" x14ac:dyDescent="0.3">
      <c r="A8" s="1003" t="s">
        <v>1734</v>
      </c>
      <c r="B8" s="1003"/>
      <c r="C8" s="1003"/>
      <c r="D8" s="1003"/>
      <c r="E8" s="1003"/>
      <c r="F8" s="1003"/>
    </row>
    <row r="9" spans="1:24" ht="35.1" customHeight="1" thickBot="1" x14ac:dyDescent="0.3">
      <c r="A9" s="1601" t="s">
        <v>1744</v>
      </c>
      <c r="B9" s="1602"/>
      <c r="C9" s="1602"/>
      <c r="D9" s="221" t="s">
        <v>1761</v>
      </c>
      <c r="E9" s="222" t="s">
        <v>1745</v>
      </c>
      <c r="F9" s="223" t="s">
        <v>2394</v>
      </c>
      <c r="M9" s="80"/>
      <c r="N9" s="81" t="b">
        <v>0</v>
      </c>
      <c r="O9" s="81" t="b">
        <v>0</v>
      </c>
      <c r="Q9" s="125" t="b">
        <f>IF(OR(AND(N9=TRUE,O9=FALSE),AND(N9=FALSE,O9=TRUE)),TRUE,FALSE)</f>
        <v>0</v>
      </c>
      <c r="R9" s="125"/>
      <c r="S9" s="81" t="b">
        <v>0</v>
      </c>
      <c r="T9" s="81" t="b">
        <v>0</v>
      </c>
      <c r="U9" s="80"/>
      <c r="V9" s="125" t="b">
        <f>IF(OR(AND(S9=TRUE,T9=FALSE),AND(S9=FALSE,T9=TRUE)),TRUE,FALSE)</f>
        <v>0</v>
      </c>
      <c r="W9" s="80" t="b">
        <f>IF(AND(Q9=TRUE,V9=TRUE),TRUE,FALSE)</f>
        <v>0</v>
      </c>
      <c r="X9" s="80"/>
    </row>
    <row r="10" spans="1:24" ht="50.25" customHeight="1" thickBot="1" x14ac:dyDescent="0.3">
      <c r="A10" s="1522" t="str">
        <f>IF(OR(AND(N9=TRUE,Q9=TRUE,S9=TRUE,V9=TRUE),AND(O9=TRUE,Q9=TRUE)),"Continue with the remainder of the checklist.",IF(AND(N9=TRUE,Q9=TRUE,T9=TRUE,V9=TRUE),"Any pages not marked confidential will be considered open to the public.  Properly mark all forms you wish to remain confidential, then make necessary changes to answers provided above.",""))</f>
        <v/>
      </c>
      <c r="B10" s="1523"/>
      <c r="C10" s="1523"/>
      <c r="D10" s="1523"/>
      <c r="E10" s="1523"/>
      <c r="F10" s="1524"/>
    </row>
    <row r="11" spans="1:24" ht="35.1" customHeight="1" thickBot="1" x14ac:dyDescent="0.3">
      <c r="A11" s="1598" t="s">
        <v>1822</v>
      </c>
      <c r="B11" s="1599"/>
      <c r="C11" s="1599"/>
      <c r="D11" s="1599"/>
      <c r="E11" s="1600"/>
      <c r="F11" s="221" t="s">
        <v>1761</v>
      </c>
      <c r="M11" s="80"/>
      <c r="N11" s="81" t="b">
        <v>0</v>
      </c>
      <c r="O11" s="81" t="b">
        <v>0</v>
      </c>
      <c r="Q11" s="125" t="b">
        <f>IF(OR(AND(N11=TRUE,O11=FALSE),AND(N11=FALSE,O11=TRUE)),TRUE,FALSE)</f>
        <v>0</v>
      </c>
      <c r="R11" s="125"/>
      <c r="S11" s="80"/>
      <c r="T11" s="80"/>
      <c r="U11" s="80"/>
      <c r="V11" s="125"/>
      <c r="W11" s="80"/>
      <c r="X11" s="80"/>
    </row>
    <row r="12" spans="1:24" ht="50.25" customHeight="1" thickBot="1" x14ac:dyDescent="0.3">
      <c r="A12" s="1522" t="str">
        <f>IF(AND(N11=TRUE,Q11=TRUE),"You must submit the original signed operating permit application, as well as two (2) additional signed copies of the permit application.",IF(AND(O11=TRUE,Q11=TRUE),"Continue with the remainder of the checklist, and submit the original signed copy of the permit application when complete.",""))</f>
        <v/>
      </c>
      <c r="B12" s="1523"/>
      <c r="C12" s="1523"/>
      <c r="D12" s="1523"/>
      <c r="E12" s="1523"/>
      <c r="F12" s="1524"/>
    </row>
    <row r="13" spans="1:24" ht="50.1" customHeight="1" thickBot="1" x14ac:dyDescent="0.3">
      <c r="A13" s="1506" t="s">
        <v>1738</v>
      </c>
      <c r="B13" s="1507"/>
      <c r="C13" s="1507"/>
      <c r="D13" s="800" t="s">
        <v>1739</v>
      </c>
      <c r="E13" s="1508" t="s">
        <v>1740</v>
      </c>
      <c r="F13" s="1215"/>
      <c r="G13" s="108" t="s">
        <v>1743</v>
      </c>
      <c r="M13" s="125"/>
      <c r="N13" s="125" t="b">
        <f>IF(AND(W9=TRUE,Q11=TRUE),TRUE,FALSE)</f>
        <v>0</v>
      </c>
      <c r="O13" s="125"/>
      <c r="Q13" s="125"/>
      <c r="R13" s="125"/>
    </row>
    <row r="14" spans="1:24" ht="35.1" customHeight="1" x14ac:dyDescent="0.25">
      <c r="A14" s="1613" t="str">
        <f>PROPER('Section 1| General Information'!A9:F9)</f>
        <v>Section 1:  Administrative Information And Responsible Official Certification</v>
      </c>
      <c r="B14" s="1614"/>
      <c r="C14" s="1614"/>
      <c r="D14" s="158" t="s">
        <v>1759</v>
      </c>
      <c r="E14" s="1615"/>
      <c r="F14" s="1616"/>
      <c r="G14" s="216" t="str">
        <f>A14</f>
        <v>Section 1:  Administrative Information And Responsible Official Certification</v>
      </c>
      <c r="M14" s="125"/>
      <c r="N14" s="159" t="b">
        <v>0</v>
      </c>
      <c r="O14" s="159" t="b">
        <v>0</v>
      </c>
      <c r="Q14" s="125" t="b">
        <f>IF(OR(AND(N14=TRUE,O14=FALSE),AND(N14=FALSE,O14=TRUE)),TRUE,FALSE)</f>
        <v>0</v>
      </c>
      <c r="R14" s="125"/>
    </row>
    <row r="15" spans="1:24" ht="35.1" customHeight="1" x14ac:dyDescent="0.25">
      <c r="A15" s="1594" t="str">
        <f>PROPER('Section 2| Source Information'!A2:G2)</f>
        <v>Section 2:  Detailed Source Information</v>
      </c>
      <c r="B15" s="1595"/>
      <c r="C15" s="1595"/>
      <c r="D15" s="220" t="s">
        <v>1759</v>
      </c>
      <c r="E15" s="1596"/>
      <c r="F15" s="1597"/>
      <c r="G15" s="217" t="str">
        <f t="shared" ref="G15:G34" si="0">A15</f>
        <v>Section 2:  Detailed Source Information</v>
      </c>
      <c r="M15" s="80"/>
      <c r="N15" s="81" t="b">
        <v>0</v>
      </c>
      <c r="O15" s="81" t="b">
        <v>0</v>
      </c>
      <c r="Q15" s="125" t="b">
        <f t="shared" ref="Q15:Q31" si="1">IF(OR(AND(N15=TRUE,O15=FALSE),AND(N15=FALSE,O15=TRUE)),TRUE,FALSE)</f>
        <v>0</v>
      </c>
      <c r="R15" s="125"/>
      <c r="S15" s="80"/>
      <c r="T15" s="80"/>
      <c r="U15" s="80"/>
      <c r="V15" s="80"/>
      <c r="W15" s="80"/>
      <c r="X15" s="80"/>
    </row>
    <row r="16" spans="1:24" ht="35.1" customHeight="1" x14ac:dyDescent="0.25">
      <c r="A16" s="1594" t="str">
        <f>'Table 3-A| Emission Units'!A99</f>
        <v>Table 3-A:  Emission Unit Identification</v>
      </c>
      <c r="B16" s="1595"/>
      <c r="C16" s="1595"/>
      <c r="D16" s="220" t="s">
        <v>1759</v>
      </c>
      <c r="E16" s="1596"/>
      <c r="F16" s="1597"/>
      <c r="G16" s="217" t="str">
        <f t="shared" si="0"/>
        <v>Table 3-A:  Emission Unit Identification</v>
      </c>
      <c r="M16" s="80"/>
      <c r="N16" s="81" t="b">
        <v>0</v>
      </c>
      <c r="O16" s="81" t="b">
        <v>0</v>
      </c>
      <c r="Q16" s="125" t="b">
        <f t="shared" si="1"/>
        <v>0</v>
      </c>
      <c r="R16" s="125"/>
      <c r="S16" s="80"/>
      <c r="T16" s="80"/>
      <c r="U16" s="80"/>
      <c r="V16" s="80"/>
      <c r="W16" s="80"/>
      <c r="X16" s="80"/>
    </row>
    <row r="17" spans="1:24" ht="35.1" customHeight="1" x14ac:dyDescent="0.25">
      <c r="A17" s="1594" t="str">
        <f>'Table 3-B| Stack Info'!A34</f>
        <v>Table 3-B:  New/Modified/Reconstructed Stack / Release Point Information</v>
      </c>
      <c r="B17" s="1595"/>
      <c r="C17" s="1595"/>
      <c r="D17" s="220" t="s">
        <v>1759</v>
      </c>
      <c r="E17" s="1596"/>
      <c r="F17" s="1597"/>
      <c r="G17" s="217" t="str">
        <f t="shared" si="0"/>
        <v>Table 3-B:  New/Modified/Reconstructed Stack / Release Point Information</v>
      </c>
      <c r="M17" s="80"/>
      <c r="N17" s="81" t="b">
        <v>0</v>
      </c>
      <c r="O17" s="81" t="b">
        <v>0</v>
      </c>
      <c r="Q17" s="125" t="b">
        <f t="shared" si="1"/>
        <v>0</v>
      </c>
      <c r="R17" s="125"/>
      <c r="S17" s="80"/>
      <c r="T17" s="80"/>
      <c r="U17" s="80"/>
      <c r="V17" s="80"/>
      <c r="W17" s="80"/>
      <c r="X17" s="80"/>
    </row>
    <row r="18" spans="1:24" ht="35.1" customHeight="1" x14ac:dyDescent="0.25">
      <c r="A18" s="1594">
        <f>'Table 4-A| Insignificant List'!A12</f>
        <v>0</v>
      </c>
      <c r="B18" s="1595"/>
      <c r="C18" s="1595"/>
      <c r="D18" s="220" t="s">
        <v>1759</v>
      </c>
      <c r="E18" s="1596"/>
      <c r="F18" s="1597"/>
      <c r="G18" s="217">
        <f t="shared" si="0"/>
        <v>0</v>
      </c>
      <c r="M18" s="80"/>
      <c r="N18" s="81" t="b">
        <v>0</v>
      </c>
      <c r="O18" s="81" t="b">
        <v>0</v>
      </c>
      <c r="Q18" s="125" t="b">
        <f t="shared" si="1"/>
        <v>0</v>
      </c>
      <c r="R18" s="125"/>
      <c r="S18" s="80"/>
      <c r="T18" s="80"/>
      <c r="U18" s="80"/>
      <c r="V18" s="80"/>
      <c r="W18" s="80"/>
      <c r="X18" s="80"/>
    </row>
    <row r="19" spans="1:24" ht="35.1" customHeight="1" x14ac:dyDescent="0.25">
      <c r="A19" s="1594" t="str">
        <f>'Table 4-B| Oil Storage'!A7</f>
        <v>Table 4-B:  Insignificant Lubricating and Heavy Oil Storage Information</v>
      </c>
      <c r="B19" s="1595"/>
      <c r="C19" s="1595"/>
      <c r="D19" s="220" t="s">
        <v>1759</v>
      </c>
      <c r="E19" s="1596"/>
      <c r="F19" s="1597"/>
      <c r="G19" s="217" t="str">
        <f t="shared" si="0"/>
        <v>Table 4-B:  Insignificant Lubricating and Heavy Oil Storage Information</v>
      </c>
      <c r="M19" s="80"/>
      <c r="N19" s="81" t="b">
        <v>0</v>
      </c>
      <c r="O19" s="81" t="b">
        <v>0</v>
      </c>
      <c r="Q19" s="125" t="b">
        <f t="shared" si="1"/>
        <v>0</v>
      </c>
      <c r="R19" s="125"/>
      <c r="S19" s="80"/>
      <c r="T19" s="80"/>
      <c r="U19" s="80"/>
      <c r="V19" s="80"/>
      <c r="W19" s="80"/>
      <c r="X19" s="80"/>
    </row>
    <row r="20" spans="1:24" ht="35.1" customHeight="1" x14ac:dyDescent="0.25">
      <c r="A20" s="1594" t="str">
        <f>'Table 4-C| Cooling Towers'!A8</f>
        <v>Table 4-C:  Insignificant Cooling Towers</v>
      </c>
      <c r="B20" s="1595"/>
      <c r="C20" s="1595"/>
      <c r="D20" s="220" t="s">
        <v>1759</v>
      </c>
      <c r="E20" s="1596"/>
      <c r="F20" s="1597"/>
      <c r="G20" s="217" t="str">
        <f t="shared" si="0"/>
        <v>Table 4-C:  Insignificant Cooling Towers</v>
      </c>
      <c r="M20" s="80"/>
      <c r="N20" s="81" t="b">
        <v>0</v>
      </c>
      <c r="O20" s="81" t="b">
        <v>0</v>
      </c>
      <c r="Q20" s="125" t="b">
        <f t="shared" si="1"/>
        <v>0</v>
      </c>
      <c r="R20" s="125"/>
      <c r="S20" s="80"/>
      <c r="T20" s="80"/>
      <c r="U20" s="80"/>
      <c r="V20" s="80"/>
      <c r="W20" s="80"/>
      <c r="X20" s="80"/>
    </row>
    <row r="21" spans="1:24" ht="35.1" customHeight="1" x14ac:dyDescent="0.25">
      <c r="A21" s="1594" t="str">
        <f>'Table 5-A| Primary MPTE'!A41</f>
        <v>Table 5-A:  MPTE – Regulated Air Pollutant Emissions from Physical Plants and Other Equipment</v>
      </c>
      <c r="B21" s="1595"/>
      <c r="C21" s="1595"/>
      <c r="D21" s="220" t="s">
        <v>1759</v>
      </c>
      <c r="E21" s="1596"/>
      <c r="F21" s="1597"/>
      <c r="G21" s="217" t="str">
        <f t="shared" si="0"/>
        <v>Table 5-A:  MPTE – Regulated Air Pollutant Emissions from Physical Plants and Other Equipment</v>
      </c>
      <c r="M21" s="80"/>
      <c r="N21" s="81" t="b">
        <v>0</v>
      </c>
      <c r="O21" s="81" t="b">
        <v>0</v>
      </c>
      <c r="Q21" s="125" t="b">
        <f t="shared" si="1"/>
        <v>0</v>
      </c>
      <c r="R21" s="125"/>
      <c r="S21" s="80"/>
      <c r="T21" s="80"/>
      <c r="U21" s="80"/>
      <c r="V21" s="80"/>
      <c r="W21" s="80"/>
      <c r="X21" s="80"/>
    </row>
    <row r="22" spans="1:24" ht="35.1" customHeight="1" x14ac:dyDescent="0.25">
      <c r="A22" s="1594" t="str">
        <f>'Table 5-B| MPTE VOC'!A26</f>
        <v>Table 5-B:  MPTE – VOC Emissions from VOC-Containing Materials</v>
      </c>
      <c r="B22" s="1595"/>
      <c r="C22" s="1595"/>
      <c r="D22" s="220" t="s">
        <v>1759</v>
      </c>
      <c r="E22" s="1596"/>
      <c r="F22" s="1597"/>
      <c r="G22" s="217" t="str">
        <f t="shared" si="0"/>
        <v>Table 5-B:  MPTE – VOC Emissions from VOC-Containing Materials</v>
      </c>
      <c r="M22" s="80"/>
      <c r="N22" s="81" t="b">
        <v>0</v>
      </c>
      <c r="O22" s="81" t="b">
        <v>0</v>
      </c>
      <c r="Q22" s="125" t="b">
        <f t="shared" si="1"/>
        <v>0</v>
      </c>
      <c r="R22" s="125"/>
      <c r="S22" s="80"/>
      <c r="T22" s="80"/>
      <c r="U22" s="80"/>
      <c r="V22" s="80"/>
      <c r="W22" s="80"/>
      <c r="X22" s="80"/>
    </row>
    <row r="23" spans="1:24" ht="35.1" customHeight="1" x14ac:dyDescent="0.25">
      <c r="A23" s="1594" t="str">
        <f>'Table 5-C| MPTE HAP'!A34</f>
        <v>Table 5-C:  MPTE - HAP Emissions from HAP-Containing Materials</v>
      </c>
      <c r="B23" s="1595"/>
      <c r="C23" s="1595"/>
      <c r="D23" s="220" t="s">
        <v>1759</v>
      </c>
      <c r="E23" s="1596"/>
      <c r="F23" s="1597"/>
      <c r="G23" s="217" t="str">
        <f t="shared" si="0"/>
        <v>Table 5-C:  MPTE - HAP Emissions from HAP-Containing Materials</v>
      </c>
      <c r="M23" s="80"/>
      <c r="N23" s="81" t="b">
        <v>0</v>
      </c>
      <c r="O23" s="81" t="b">
        <v>0</v>
      </c>
      <c r="Q23" s="125" t="b">
        <f t="shared" si="1"/>
        <v>0</v>
      </c>
      <c r="R23" s="125"/>
      <c r="S23" s="80"/>
      <c r="T23" s="80"/>
      <c r="U23" s="80"/>
      <c r="V23" s="80"/>
      <c r="W23" s="80"/>
      <c r="X23" s="80"/>
    </row>
    <row r="24" spans="1:24" ht="35.1" customHeight="1" x14ac:dyDescent="0.25">
      <c r="A24" s="1594" t="str">
        <f>'Table 5-D| MPTE Thresholds'!A9</f>
        <v>Table 5-D:  Maximum Potential to Emit and Operating / Construction Permit Thresholds</v>
      </c>
      <c r="B24" s="1595"/>
      <c r="C24" s="1595"/>
      <c r="D24" s="220" t="s">
        <v>1759</v>
      </c>
      <c r="E24" s="1596"/>
      <c r="F24" s="1597"/>
      <c r="G24" s="217" t="str">
        <f t="shared" si="0"/>
        <v>Table 5-D:  Maximum Potential to Emit and Operating / Construction Permit Thresholds</v>
      </c>
      <c r="M24" s="80"/>
      <c r="N24" s="81" t="b">
        <v>0</v>
      </c>
      <c r="O24" s="81" t="b">
        <v>0</v>
      </c>
      <c r="Q24" s="125" t="b">
        <f t="shared" si="1"/>
        <v>0</v>
      </c>
      <c r="R24" s="125"/>
      <c r="S24" s="80"/>
      <c r="T24" s="80"/>
      <c r="U24" s="80"/>
      <c r="V24" s="80"/>
      <c r="W24" s="80"/>
      <c r="X24" s="80"/>
    </row>
    <row r="25" spans="1:24" ht="35.1" customHeight="1" x14ac:dyDescent="0.25">
      <c r="A25" s="1594" t="str">
        <f>PROPER('Section 6| Source Class'!A2)</f>
        <v>Section 6:  Source Class &amp; Permit Determination</v>
      </c>
      <c r="B25" s="1595"/>
      <c r="C25" s="1595"/>
      <c r="D25" s="220" t="s">
        <v>1759</v>
      </c>
      <c r="E25" s="1596"/>
      <c r="F25" s="1597"/>
      <c r="G25" s="217" t="str">
        <f t="shared" si="0"/>
        <v>Section 6:  Source Class &amp; Permit Determination</v>
      </c>
      <c r="M25" s="80"/>
      <c r="N25" s="81" t="b">
        <v>0</v>
      </c>
      <c r="O25" s="81" t="b">
        <v>0</v>
      </c>
      <c r="Q25" s="125" t="b">
        <f t="shared" si="1"/>
        <v>0</v>
      </c>
      <c r="R25" s="125"/>
      <c r="S25" s="80"/>
      <c r="T25" s="80"/>
      <c r="U25" s="80"/>
      <c r="V25" s="80"/>
      <c r="W25" s="80"/>
      <c r="X25" s="80"/>
    </row>
    <row r="26" spans="1:24" ht="35.1" customHeight="1" x14ac:dyDescent="0.25">
      <c r="A26" s="1594" t="str">
        <f>'Table 6-A| Controls &amp; Limits'!A17</f>
        <v>Part F:  Table 6-A – Source-Elected Throughput Limits and Emission Control Requirements</v>
      </c>
      <c r="B26" s="1595"/>
      <c r="C26" s="1595"/>
      <c r="D26" s="220" t="s">
        <v>1759</v>
      </c>
      <c r="E26" s="1596"/>
      <c r="F26" s="1597"/>
      <c r="G26" s="217" t="str">
        <f t="shared" si="0"/>
        <v>Part F:  Table 6-A – Source-Elected Throughput Limits and Emission Control Requirements</v>
      </c>
      <c r="M26" s="80"/>
      <c r="N26" s="81" t="b">
        <v>0</v>
      </c>
      <c r="O26" s="81" t="b">
        <v>0</v>
      </c>
      <c r="Q26" s="125" t="b">
        <f t="shared" si="1"/>
        <v>0</v>
      </c>
      <c r="R26" s="125"/>
      <c r="S26" s="80"/>
      <c r="T26" s="80"/>
      <c r="U26" s="80"/>
      <c r="V26" s="80"/>
      <c r="W26" s="80"/>
      <c r="X26" s="80"/>
    </row>
    <row r="27" spans="1:24" ht="35.1" customHeight="1" x14ac:dyDescent="0.25">
      <c r="A27" s="1610" t="str">
        <f>'Table 6-B| Emission Limits'!A20</f>
        <v>Part G:  Source-Elected Facility-Wide Emission Limits</v>
      </c>
      <c r="B27" s="1611"/>
      <c r="C27" s="1612"/>
      <c r="D27" s="220" t="s">
        <v>1759</v>
      </c>
      <c r="E27" s="1608"/>
      <c r="F27" s="1609"/>
      <c r="G27" s="217" t="str">
        <f>A27</f>
        <v>Part G:  Source-Elected Facility-Wide Emission Limits</v>
      </c>
      <c r="M27" s="80"/>
      <c r="N27" s="81" t="b">
        <v>0</v>
      </c>
      <c r="O27" s="81" t="b">
        <v>0</v>
      </c>
      <c r="Q27" s="125" t="b">
        <f t="shared" si="1"/>
        <v>0</v>
      </c>
      <c r="R27" s="125"/>
      <c r="S27" s="80"/>
      <c r="T27" s="80"/>
      <c r="U27" s="80"/>
      <c r="V27" s="80"/>
      <c r="W27" s="80"/>
      <c r="X27" s="80"/>
    </row>
    <row r="28" spans="1:24" ht="35.1" customHeight="1" x14ac:dyDescent="0.25">
      <c r="A28" s="1594" t="str">
        <f>'Table 7-A| Primary APTE'!A9</f>
        <v>Table 7-A:  APTE – Regulated Air Pollutant Emissions from Concrete Batch Plants and Other Units</v>
      </c>
      <c r="B28" s="1595"/>
      <c r="C28" s="1595"/>
      <c r="D28" s="220" t="s">
        <v>1759</v>
      </c>
      <c r="E28" s="1596"/>
      <c r="F28" s="1597"/>
      <c r="G28" s="217" t="str">
        <f t="shared" si="0"/>
        <v>Table 7-A:  APTE – Regulated Air Pollutant Emissions from Concrete Batch Plants and Other Units</v>
      </c>
      <c r="M28" s="80"/>
      <c r="N28" s="81" t="b">
        <v>0</v>
      </c>
      <c r="O28" s="81" t="b">
        <v>0</v>
      </c>
      <c r="Q28" s="125" t="b">
        <f t="shared" si="1"/>
        <v>0</v>
      </c>
      <c r="R28" s="125"/>
      <c r="S28" s="80"/>
      <c r="T28" s="80"/>
      <c r="U28" s="80"/>
      <c r="V28" s="80"/>
      <c r="W28" s="80"/>
      <c r="X28" s="80"/>
    </row>
    <row r="29" spans="1:24" ht="35.1" customHeight="1" x14ac:dyDescent="0.25">
      <c r="A29" s="1594" t="str">
        <f>'Table 7-B| APTE VOC'!A19</f>
        <v>Table 7-B:  APTE – VOC Emissions from VOC-Containing Materials</v>
      </c>
      <c r="B29" s="1595"/>
      <c r="C29" s="1595"/>
      <c r="D29" s="220" t="s">
        <v>1759</v>
      </c>
      <c r="E29" s="1596"/>
      <c r="F29" s="1597"/>
      <c r="G29" s="217" t="str">
        <f t="shared" si="0"/>
        <v>Table 7-B:  APTE – VOC Emissions from VOC-Containing Materials</v>
      </c>
      <c r="M29" s="80"/>
      <c r="N29" s="81" t="b">
        <v>0</v>
      </c>
      <c r="O29" s="81" t="b">
        <v>0</v>
      </c>
      <c r="Q29" s="125" t="b">
        <f t="shared" si="1"/>
        <v>0</v>
      </c>
      <c r="R29" s="125"/>
      <c r="S29" s="80"/>
      <c r="T29" s="80"/>
      <c r="U29" s="80"/>
      <c r="V29" s="80"/>
      <c r="W29" s="80"/>
      <c r="X29" s="80"/>
    </row>
    <row r="30" spans="1:24" ht="35.1" customHeight="1" x14ac:dyDescent="0.25">
      <c r="A30" s="1594" t="str">
        <f>'Table 7-C| APTE HAP'!A25</f>
        <v>Table 7-C:  APTE – HAP Emissions from HAP-Containing Materials</v>
      </c>
      <c r="B30" s="1595"/>
      <c r="C30" s="1595"/>
      <c r="D30" s="220" t="s">
        <v>1759</v>
      </c>
      <c r="E30" s="1596"/>
      <c r="F30" s="1597"/>
      <c r="G30" s="217" t="str">
        <f t="shared" si="0"/>
        <v>Table 7-C:  APTE – HAP Emissions from HAP-Containing Materials</v>
      </c>
      <c r="M30" s="80"/>
      <c r="N30" s="81" t="b">
        <v>0</v>
      </c>
      <c r="O30" s="81" t="b">
        <v>0</v>
      </c>
      <c r="Q30" s="125" t="b">
        <f t="shared" si="1"/>
        <v>0</v>
      </c>
      <c r="R30" s="125"/>
      <c r="S30" s="80"/>
      <c r="T30" s="80"/>
      <c r="U30" s="80"/>
      <c r="V30" s="80"/>
      <c r="W30" s="80"/>
      <c r="X30" s="80"/>
    </row>
    <row r="31" spans="1:24" ht="35.1" customHeight="1" x14ac:dyDescent="0.25">
      <c r="A31" s="1594" t="str">
        <f>'Table 7-D| APTE Thresholds'!A10:F10</f>
        <v>Table 7-D:  Actual Potential to Emit and Operating / Construction Permit Thresholds</v>
      </c>
      <c r="B31" s="1595"/>
      <c r="C31" s="1595"/>
      <c r="D31" s="220" t="s">
        <v>1759</v>
      </c>
      <c r="E31" s="1596"/>
      <c r="F31" s="1597"/>
      <c r="G31" s="217" t="str">
        <f t="shared" si="0"/>
        <v>Table 7-D:  Actual Potential to Emit and Operating / Construction Permit Thresholds</v>
      </c>
      <c r="M31" s="80"/>
      <c r="N31" s="81" t="b">
        <v>0</v>
      </c>
      <c r="O31" s="81" t="b">
        <v>0</v>
      </c>
      <c r="Q31" s="125" t="b">
        <f t="shared" si="1"/>
        <v>0</v>
      </c>
      <c r="R31" s="125"/>
      <c r="S31" s="80"/>
      <c r="T31" s="80"/>
      <c r="U31" s="80"/>
      <c r="V31" s="80"/>
      <c r="W31" s="80"/>
      <c r="X31" s="80"/>
    </row>
    <row r="32" spans="1:24" ht="35.1" customHeight="1" x14ac:dyDescent="0.25">
      <c r="A32" s="1594" t="str">
        <f>PROPER('Section 8| Applicable Rules'!$A$21)</f>
        <v>Section 8:  Applicable Rules And Requirements</v>
      </c>
      <c r="B32" s="1595"/>
      <c r="C32" s="1595"/>
      <c r="D32" s="214" t="s">
        <v>1759</v>
      </c>
      <c r="E32" s="1596"/>
      <c r="F32" s="1597"/>
      <c r="G32" s="217" t="str">
        <f t="shared" si="0"/>
        <v>Section 8:  Applicable Rules And Requirements</v>
      </c>
      <c r="M32" s="80"/>
      <c r="N32" s="81" t="b">
        <v>0</v>
      </c>
      <c r="O32" s="81" t="b">
        <v>0</v>
      </c>
      <c r="Q32" s="125" t="b">
        <f t="shared" ref="Q32:Q34" si="2">IF(OR(AND(N32=TRUE,O32=FALSE),AND(N32=FALSE,O32=TRUE)),TRUE,FALSE)</f>
        <v>0</v>
      </c>
      <c r="R32" s="125"/>
      <c r="S32" s="80"/>
      <c r="T32" s="80"/>
      <c r="U32" s="80"/>
      <c r="V32" s="80"/>
      <c r="W32" s="80"/>
      <c r="X32" s="80"/>
    </row>
    <row r="33" spans="1:24" ht="35.1" customHeight="1" x14ac:dyDescent="0.25">
      <c r="A33" s="1594" t="str">
        <f>PROPER('Section 9| Compliance Plan'!A9)</f>
        <v>Section 9:  Compliance Plan</v>
      </c>
      <c r="B33" s="1595"/>
      <c r="C33" s="1595"/>
      <c r="D33" s="214" t="s">
        <v>1759</v>
      </c>
      <c r="E33" s="1596"/>
      <c r="F33" s="1597"/>
      <c r="G33" s="217" t="str">
        <f t="shared" si="0"/>
        <v>Section 9:  Compliance Plan</v>
      </c>
      <c r="M33" s="80"/>
      <c r="N33" s="81" t="b">
        <v>0</v>
      </c>
      <c r="O33" s="81" t="b">
        <v>0</v>
      </c>
      <c r="Q33" s="125" t="b">
        <f t="shared" si="2"/>
        <v>0</v>
      </c>
      <c r="R33" s="125"/>
      <c r="S33" s="80"/>
      <c r="T33" s="80"/>
      <c r="U33" s="80"/>
      <c r="V33" s="80"/>
      <c r="W33" s="80"/>
      <c r="X33" s="80"/>
    </row>
    <row r="34" spans="1:24" ht="35.1" customHeight="1" thickBot="1" x14ac:dyDescent="0.3">
      <c r="A34" s="1603" t="str">
        <f>PROPER('Table 9-A| Compliance Schedule'!A8)</f>
        <v>Table 9-A:  Compliance Schedule</v>
      </c>
      <c r="B34" s="1604"/>
      <c r="C34" s="1604"/>
      <c r="D34" s="215" t="s">
        <v>1759</v>
      </c>
      <c r="E34" s="1605"/>
      <c r="F34" s="1606"/>
      <c r="G34" s="218" t="str">
        <f t="shared" si="0"/>
        <v>Table 9-A:  Compliance Schedule</v>
      </c>
      <c r="M34" s="80"/>
      <c r="N34" s="81" t="b">
        <v>0</v>
      </c>
      <c r="O34" s="81" t="b">
        <v>0</v>
      </c>
      <c r="Q34" s="125" t="b">
        <f t="shared" si="2"/>
        <v>0</v>
      </c>
      <c r="R34" s="125"/>
      <c r="S34" s="80"/>
      <c r="T34" s="80"/>
      <c r="U34" s="80"/>
      <c r="V34" s="80"/>
      <c r="W34" s="80"/>
      <c r="X34" s="80"/>
    </row>
    <row r="35" spans="1:24" ht="20.100000000000001" customHeight="1" x14ac:dyDescent="0.25">
      <c r="A35" s="839"/>
      <c r="B35" s="840"/>
      <c r="C35" s="840"/>
      <c r="D35" s="840"/>
      <c r="E35" s="840"/>
      <c r="F35" s="843" t="str">
        <f>"Ver."&amp;" "&amp;TEXT(Introduction!$M$3,"MM/YYYY")</f>
        <v>Ver. 01/2025</v>
      </c>
    </row>
    <row r="36" spans="1:24" ht="20.100000000000001" customHeight="1" x14ac:dyDescent="0.25">
      <c r="A36" s="50"/>
    </row>
    <row r="37" spans="1:24" ht="20.100000000000001" customHeight="1" x14ac:dyDescent="0.25">
      <c r="A37" s="50"/>
    </row>
    <row r="38" spans="1:24" ht="20.100000000000001" customHeight="1" x14ac:dyDescent="0.25">
      <c r="A38" s="50"/>
    </row>
    <row r="39" spans="1:24" ht="20.100000000000001" customHeight="1" x14ac:dyDescent="0.25">
      <c r="A39" s="50"/>
    </row>
    <row r="40" spans="1:24" ht="20.100000000000001" customHeight="1" x14ac:dyDescent="0.25">
      <c r="A40" s="50"/>
    </row>
    <row r="41" spans="1:24" ht="20.100000000000001" customHeight="1" x14ac:dyDescent="0.25">
      <c r="A41" s="50"/>
    </row>
    <row r="42" spans="1:24" ht="20.100000000000001" customHeight="1" x14ac:dyDescent="0.25">
      <c r="A42" s="50"/>
    </row>
    <row r="43" spans="1:24" ht="20.100000000000001" customHeight="1" x14ac:dyDescent="0.25">
      <c r="A43" s="50"/>
    </row>
    <row r="44" spans="1:24" ht="20.100000000000001" customHeight="1" x14ac:dyDescent="0.25">
      <c r="A44" s="50"/>
    </row>
    <row r="45" spans="1:24" ht="20.100000000000001" customHeight="1" x14ac:dyDescent="0.25">
      <c r="A45" s="50"/>
    </row>
    <row r="46" spans="1:24" ht="20.100000000000001" customHeight="1" x14ac:dyDescent="0.25">
      <c r="A46" s="50"/>
    </row>
    <row r="47" spans="1:24" ht="20.100000000000001" customHeight="1" x14ac:dyDescent="0.25">
      <c r="A47" s="50"/>
    </row>
    <row r="48" spans="1:24"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vEIkX/Z9iYzDLlnRDqb0NRPwDTE4yOhZOfbX4RWytYP+c73aP0hM6MQZ6cZJoCR3vZVdyLSPOzd+J7Iav1CiZQ==" saltValue="2quRGGebIZhPZuTb7KDudw==" spinCount="100000" sheet="1" objects="1" scenarios="1"/>
  <mergeCells count="56">
    <mergeCell ref="A3:G3"/>
    <mergeCell ref="A2:G2"/>
    <mergeCell ref="E27:F27"/>
    <mergeCell ref="A27:C27"/>
    <mergeCell ref="E22:F22"/>
    <mergeCell ref="A23:C23"/>
    <mergeCell ref="E23:F23"/>
    <mergeCell ref="A24:C24"/>
    <mergeCell ref="A6:H6"/>
    <mergeCell ref="A5:G5"/>
    <mergeCell ref="A4:G4"/>
    <mergeCell ref="A13:C13"/>
    <mergeCell ref="E13:F13"/>
    <mergeCell ref="A14:C14"/>
    <mergeCell ref="E14:F14"/>
    <mergeCell ref="A15:C15"/>
    <mergeCell ref="A29:C29"/>
    <mergeCell ref="E29:F29"/>
    <mergeCell ref="A30:C30"/>
    <mergeCell ref="E30:F30"/>
    <mergeCell ref="A34:C34"/>
    <mergeCell ref="E33:F33"/>
    <mergeCell ref="E34:F34"/>
    <mergeCell ref="A31:C31"/>
    <mergeCell ref="E31:F31"/>
    <mergeCell ref="A32:C32"/>
    <mergeCell ref="E32:F32"/>
    <mergeCell ref="A33:C33"/>
    <mergeCell ref="A1:H1"/>
    <mergeCell ref="A8:F8"/>
    <mergeCell ref="E24:F24"/>
    <mergeCell ref="E18:F18"/>
    <mergeCell ref="A19:C19"/>
    <mergeCell ref="E19:F19"/>
    <mergeCell ref="A20:C20"/>
    <mergeCell ref="E20:F20"/>
    <mergeCell ref="A10:F10"/>
    <mergeCell ref="A12:F12"/>
    <mergeCell ref="A11:E11"/>
    <mergeCell ref="A21:C21"/>
    <mergeCell ref="E21:F21"/>
    <mergeCell ref="A22:C22"/>
    <mergeCell ref="A9:C9"/>
    <mergeCell ref="A7:F7"/>
    <mergeCell ref="E15:F15"/>
    <mergeCell ref="A16:C16"/>
    <mergeCell ref="E16:F16"/>
    <mergeCell ref="A17:C17"/>
    <mergeCell ref="E17:F17"/>
    <mergeCell ref="A18:C18"/>
    <mergeCell ref="A28:C28"/>
    <mergeCell ref="E28:F28"/>
    <mergeCell ref="A25:C25"/>
    <mergeCell ref="E25:F25"/>
    <mergeCell ref="A26:C26"/>
    <mergeCell ref="E26:F26"/>
  </mergeCells>
  <conditionalFormatting sqref="A10:F10">
    <cfRule type="expression" dxfId="9" priority="8">
      <formula>AND(N9=TRUE,Q9=TRUE,T9=TRUE,V9=TRUE)</formula>
    </cfRule>
    <cfRule type="expression" dxfId="8" priority="12">
      <formula>W9=TRUE</formula>
    </cfRule>
  </conditionalFormatting>
  <conditionalFormatting sqref="A12:F12">
    <cfRule type="expression" dxfId="7" priority="7">
      <formula>Q11=TRUE</formula>
    </cfRule>
    <cfRule type="expression" dxfId="6" priority="9">
      <formula>AND(N11=TRUE,Q11=TRUE,T11=TRUE,V11=TRUE)</formula>
    </cfRule>
  </conditionalFormatting>
  <conditionalFormatting sqref="D9 D14:D34">
    <cfRule type="expression" dxfId="5" priority="555">
      <formula>Q9=FALSE</formula>
    </cfRule>
  </conditionalFormatting>
  <conditionalFormatting sqref="E14:F26 E27 E28:F34">
    <cfRule type="expression" dxfId="4" priority="5">
      <formula>AND(Q14=TRUE,O14=TRUE,ISBLANK(E14))</formula>
    </cfRule>
  </conditionalFormatting>
  <conditionalFormatting sqref="F9">
    <cfRule type="expression" dxfId="3" priority="13">
      <formula>AND(Q9=TRUE,V9=FALSE)</formula>
    </cfRule>
  </conditionalFormatting>
  <conditionalFormatting sqref="F11">
    <cfRule type="expression" dxfId="2" priority="11">
      <formula>AND(W9=TRUE,NOT(T9=TRUE),Q11=FALSE)</formula>
    </cfRule>
  </conditionalFormatting>
  <hyperlinks>
    <hyperlink ref="G14" location="'Section 1| General Information'!A1" display="'Section 1| General Information'!A1" xr:uid="{00000000-0004-0000-1700-000000000000}"/>
    <hyperlink ref="G15" location="'Section 2| Source Information'!A1" display="'Section 2| Source Information'!A1" xr:uid="{00000000-0004-0000-1700-000001000000}"/>
    <hyperlink ref="G16" location="'Table 3-A| Emission Units'!A1" display="'Table 3-A| Emission Units'!A1" xr:uid="{00000000-0004-0000-1700-000002000000}"/>
    <hyperlink ref="G17" location="'Table 3-B| Stack Info'!A1" display="'Table 3-B| Stack Info'!A1" xr:uid="{00000000-0004-0000-1700-000003000000}"/>
    <hyperlink ref="G18" location="'Table 4-A| Insignificant List'!A1" display="'Table 4-A| Insignificant List'!A1" xr:uid="{00000000-0004-0000-1700-000004000000}"/>
    <hyperlink ref="G19" location="'Table 4-B| Oil Storage'!A1" display="'Table 4-B| Oil Storage'!A1" xr:uid="{00000000-0004-0000-1700-000005000000}"/>
    <hyperlink ref="G20" location="'Table 4-C| Cooling Towers'!A1" display="'Table 4-C| Cooling Towers'!A1" xr:uid="{00000000-0004-0000-1700-000006000000}"/>
    <hyperlink ref="G21" location="'Table 5-A| Primary MPTE'!A1" display="'Table 5-A| Primary MPTE'!A1" xr:uid="{00000000-0004-0000-1700-000007000000}"/>
    <hyperlink ref="G22" location="'Table 5-C| MPTE VOC'!A1" display="'Table 5-C| MPTE VOC'!A1" xr:uid="{00000000-0004-0000-1700-000008000000}"/>
    <hyperlink ref="G23" location="'Table 5-C| MPTE VOC'!A1" display="'Table 5-C| MPTE VOC'!A1" xr:uid="{00000000-0004-0000-1700-000009000000}"/>
    <hyperlink ref="G24" location="'Table 5-E| MPTE Thresholds'!A1" display="'Table 5-E| MPTE Thresholds'!A1" xr:uid="{00000000-0004-0000-1700-00000A000000}"/>
    <hyperlink ref="G25" location="'Section 6| Source Class'!A1" display="'Section 6| Source Class'!A1" xr:uid="{00000000-0004-0000-1700-00000B000000}"/>
    <hyperlink ref="G26" location="'Table 6-A| Controls &amp; Limits'!A1" display="'Table 6-A| Controls &amp; Limits'!A1" xr:uid="{00000000-0004-0000-1700-00000C000000}"/>
    <hyperlink ref="G28" location="'Table 7-A| Primary APTE'!A1" display="'Table 7-A| Primary APTE'!A1" xr:uid="{00000000-0004-0000-1700-00000D000000}"/>
    <hyperlink ref="G29" location="'Table 7-C| APTE VOC'!A1" display="'Table 7-C| APTE VOC'!A1" xr:uid="{00000000-0004-0000-1700-00000E000000}"/>
    <hyperlink ref="G30" location="'Table 7-D| APTE HAP'!A1" display="'Table 7-D| APTE HAP'!A1" xr:uid="{00000000-0004-0000-1700-00000F000000}"/>
    <hyperlink ref="G31" location="'Table 7-E| APTE Thresholds'!A1" display="'Table 7-E| APTE Thresholds'!A1" xr:uid="{00000000-0004-0000-1700-000010000000}"/>
    <hyperlink ref="G32" location="'Section 8| Applicable Rules'!A1" display="'Section 8| Applicable Rules'!A1" xr:uid="{00000000-0004-0000-1700-000011000000}"/>
    <hyperlink ref="G33" location="'Section 9| Compliance Plan'!A1" display="'Section 9| Compliance Plan'!A1" xr:uid="{00000000-0004-0000-1700-000012000000}"/>
    <hyperlink ref="G34" location="'Table 9-A| Compliance Schedule'!A1" display="'Table 9-A| Compliance Schedule'!A1" xr:uid="{00000000-0004-0000-1700-000013000000}"/>
    <hyperlink ref="G27" location="'Table 6-B| Emission Limits'!A1" display="'Table 6-B| Emission Limits'!A1" xr:uid="{00000000-0004-0000-1700-000014000000}"/>
  </hyperlinks>
  <printOptions horizontalCentered="1"/>
  <pageMargins left="0.5" right="0.5" top="0.5" bottom="0.5" header="0.3" footer="0.3"/>
  <pageSetup scale="78" fitToHeight="0" orientation="portrait" r:id="rId1"/>
  <headerFooter>
    <oddFooter>&amp;L&amp;A&amp;RPage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3</xdr:col>
                    <xdr:colOff>9525</xdr:colOff>
                    <xdr:row>13</xdr:row>
                    <xdr:rowOff>28575</xdr:rowOff>
                  </from>
                  <to>
                    <xdr:col>3</xdr:col>
                    <xdr:colOff>685800</xdr:colOff>
                    <xdr:row>13</xdr:row>
                    <xdr:rowOff>238125</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9525</xdr:colOff>
                    <xdr:row>13</xdr:row>
                    <xdr:rowOff>219075</xdr:rowOff>
                  </from>
                  <to>
                    <xdr:col>3</xdr:col>
                    <xdr:colOff>685800</xdr:colOff>
                    <xdr:row>13</xdr:row>
                    <xdr:rowOff>428625</xdr:rowOff>
                  </to>
                </anchor>
              </controlPr>
            </control>
          </mc:Choice>
        </mc:AlternateContent>
        <mc:AlternateContent xmlns:mc="http://schemas.openxmlformats.org/markup-compatibility/2006">
          <mc:Choice Requires="x14">
            <control shapeId="87083" r:id="rId6" name="Check Box 43">
              <controlPr defaultSize="0" autoFill="0" autoLine="0" autoPict="0">
                <anchor moveWithCells="1">
                  <from>
                    <xdr:col>3</xdr:col>
                    <xdr:colOff>38100</xdr:colOff>
                    <xdr:row>8</xdr:row>
                    <xdr:rowOff>19050</xdr:rowOff>
                  </from>
                  <to>
                    <xdr:col>3</xdr:col>
                    <xdr:colOff>714375</xdr:colOff>
                    <xdr:row>8</xdr:row>
                    <xdr:rowOff>238125</xdr:rowOff>
                  </to>
                </anchor>
              </controlPr>
            </control>
          </mc:Choice>
        </mc:AlternateContent>
        <mc:AlternateContent xmlns:mc="http://schemas.openxmlformats.org/markup-compatibility/2006">
          <mc:Choice Requires="x14">
            <control shapeId="87084" r:id="rId7" name="Check Box 44">
              <controlPr defaultSize="0" autoFill="0" autoLine="0" autoPict="0">
                <anchor moveWithCells="1">
                  <from>
                    <xdr:col>3</xdr:col>
                    <xdr:colOff>38100</xdr:colOff>
                    <xdr:row>8</xdr:row>
                    <xdr:rowOff>209550</xdr:rowOff>
                  </from>
                  <to>
                    <xdr:col>3</xdr:col>
                    <xdr:colOff>714375</xdr:colOff>
                    <xdr:row>8</xdr:row>
                    <xdr:rowOff>428625</xdr:rowOff>
                  </to>
                </anchor>
              </controlPr>
            </control>
          </mc:Choice>
        </mc:AlternateContent>
        <mc:AlternateContent xmlns:mc="http://schemas.openxmlformats.org/markup-compatibility/2006">
          <mc:Choice Requires="x14">
            <control shapeId="87085" r:id="rId8" name="Check Box 45">
              <controlPr defaultSize="0" autoFill="0" autoLine="0" autoPict="0">
                <anchor moveWithCells="1">
                  <from>
                    <xdr:col>5</xdr:col>
                    <xdr:colOff>38100</xdr:colOff>
                    <xdr:row>8</xdr:row>
                    <xdr:rowOff>19050</xdr:rowOff>
                  </from>
                  <to>
                    <xdr:col>5</xdr:col>
                    <xdr:colOff>714375</xdr:colOff>
                    <xdr:row>8</xdr:row>
                    <xdr:rowOff>238125</xdr:rowOff>
                  </to>
                </anchor>
              </controlPr>
            </control>
          </mc:Choice>
        </mc:AlternateContent>
        <mc:AlternateContent xmlns:mc="http://schemas.openxmlformats.org/markup-compatibility/2006">
          <mc:Choice Requires="x14">
            <control shapeId="87086" r:id="rId9" name="Check Box 46">
              <controlPr defaultSize="0" autoFill="0" autoLine="0" autoPict="0">
                <anchor moveWithCells="1">
                  <from>
                    <xdr:col>5</xdr:col>
                    <xdr:colOff>38100</xdr:colOff>
                    <xdr:row>8</xdr:row>
                    <xdr:rowOff>209550</xdr:rowOff>
                  </from>
                  <to>
                    <xdr:col>5</xdr:col>
                    <xdr:colOff>714375</xdr:colOff>
                    <xdr:row>8</xdr:row>
                    <xdr:rowOff>428625</xdr:rowOff>
                  </to>
                </anchor>
              </controlPr>
            </control>
          </mc:Choice>
        </mc:AlternateContent>
        <mc:AlternateContent xmlns:mc="http://schemas.openxmlformats.org/markup-compatibility/2006">
          <mc:Choice Requires="x14">
            <control shapeId="87087" r:id="rId10" name="Check Box 47">
              <controlPr defaultSize="0" autoFill="0" autoLine="0" autoPict="0">
                <anchor moveWithCells="1">
                  <from>
                    <xdr:col>5</xdr:col>
                    <xdr:colOff>38100</xdr:colOff>
                    <xdr:row>10</xdr:row>
                    <xdr:rowOff>9525</xdr:rowOff>
                  </from>
                  <to>
                    <xdr:col>5</xdr:col>
                    <xdr:colOff>714375</xdr:colOff>
                    <xdr:row>10</xdr:row>
                    <xdr:rowOff>228600</xdr:rowOff>
                  </to>
                </anchor>
              </controlPr>
            </control>
          </mc:Choice>
        </mc:AlternateContent>
        <mc:AlternateContent xmlns:mc="http://schemas.openxmlformats.org/markup-compatibility/2006">
          <mc:Choice Requires="x14">
            <control shapeId="87088" r:id="rId11" name="Check Box 48">
              <controlPr defaultSize="0" autoFill="0" autoLine="0" autoPict="0">
                <anchor moveWithCells="1">
                  <from>
                    <xdr:col>5</xdr:col>
                    <xdr:colOff>38100</xdr:colOff>
                    <xdr:row>10</xdr:row>
                    <xdr:rowOff>200025</xdr:rowOff>
                  </from>
                  <to>
                    <xdr:col>5</xdr:col>
                    <xdr:colOff>714375</xdr:colOff>
                    <xdr:row>10</xdr:row>
                    <xdr:rowOff>419100</xdr:rowOff>
                  </to>
                </anchor>
              </controlPr>
            </control>
          </mc:Choice>
        </mc:AlternateContent>
        <mc:AlternateContent xmlns:mc="http://schemas.openxmlformats.org/markup-compatibility/2006">
          <mc:Choice Requires="x14">
            <control shapeId="87091" r:id="rId12" name="Check Box 51">
              <controlPr defaultSize="0" autoFill="0" autoLine="0" autoPict="0">
                <anchor moveWithCells="1">
                  <from>
                    <xdr:col>3</xdr:col>
                    <xdr:colOff>0</xdr:colOff>
                    <xdr:row>14</xdr:row>
                    <xdr:rowOff>28575</xdr:rowOff>
                  </from>
                  <to>
                    <xdr:col>3</xdr:col>
                    <xdr:colOff>676275</xdr:colOff>
                    <xdr:row>14</xdr:row>
                    <xdr:rowOff>238125</xdr:rowOff>
                  </to>
                </anchor>
              </controlPr>
            </control>
          </mc:Choice>
        </mc:AlternateContent>
        <mc:AlternateContent xmlns:mc="http://schemas.openxmlformats.org/markup-compatibility/2006">
          <mc:Choice Requires="x14">
            <control shapeId="87092" r:id="rId13" name="Check Box 52">
              <controlPr defaultSize="0" autoFill="0" autoLine="0" autoPict="0">
                <anchor moveWithCells="1">
                  <from>
                    <xdr:col>3</xdr:col>
                    <xdr:colOff>0</xdr:colOff>
                    <xdr:row>14</xdr:row>
                    <xdr:rowOff>219075</xdr:rowOff>
                  </from>
                  <to>
                    <xdr:col>3</xdr:col>
                    <xdr:colOff>676275</xdr:colOff>
                    <xdr:row>14</xdr:row>
                    <xdr:rowOff>428625</xdr:rowOff>
                  </to>
                </anchor>
              </controlPr>
            </control>
          </mc:Choice>
        </mc:AlternateContent>
        <mc:AlternateContent xmlns:mc="http://schemas.openxmlformats.org/markup-compatibility/2006">
          <mc:Choice Requires="x14">
            <control shapeId="87093" r:id="rId14" name="Check Box 53">
              <controlPr defaultSize="0" autoFill="0" autoLine="0" autoPict="0">
                <anchor moveWithCells="1">
                  <from>
                    <xdr:col>3</xdr:col>
                    <xdr:colOff>0</xdr:colOff>
                    <xdr:row>15</xdr:row>
                    <xdr:rowOff>28575</xdr:rowOff>
                  </from>
                  <to>
                    <xdr:col>3</xdr:col>
                    <xdr:colOff>676275</xdr:colOff>
                    <xdr:row>15</xdr:row>
                    <xdr:rowOff>238125</xdr:rowOff>
                  </to>
                </anchor>
              </controlPr>
            </control>
          </mc:Choice>
        </mc:AlternateContent>
        <mc:AlternateContent xmlns:mc="http://schemas.openxmlformats.org/markup-compatibility/2006">
          <mc:Choice Requires="x14">
            <control shapeId="87094" r:id="rId15" name="Check Box 54">
              <controlPr defaultSize="0" autoFill="0" autoLine="0" autoPict="0">
                <anchor moveWithCells="1">
                  <from>
                    <xdr:col>3</xdr:col>
                    <xdr:colOff>0</xdr:colOff>
                    <xdr:row>15</xdr:row>
                    <xdr:rowOff>219075</xdr:rowOff>
                  </from>
                  <to>
                    <xdr:col>3</xdr:col>
                    <xdr:colOff>676275</xdr:colOff>
                    <xdr:row>15</xdr:row>
                    <xdr:rowOff>428625</xdr:rowOff>
                  </to>
                </anchor>
              </controlPr>
            </control>
          </mc:Choice>
        </mc:AlternateContent>
        <mc:AlternateContent xmlns:mc="http://schemas.openxmlformats.org/markup-compatibility/2006">
          <mc:Choice Requires="x14">
            <control shapeId="87095" r:id="rId16" name="Check Box 55">
              <controlPr defaultSize="0" autoFill="0" autoLine="0" autoPict="0">
                <anchor moveWithCells="1">
                  <from>
                    <xdr:col>3</xdr:col>
                    <xdr:colOff>0</xdr:colOff>
                    <xdr:row>16</xdr:row>
                    <xdr:rowOff>28575</xdr:rowOff>
                  </from>
                  <to>
                    <xdr:col>3</xdr:col>
                    <xdr:colOff>676275</xdr:colOff>
                    <xdr:row>16</xdr:row>
                    <xdr:rowOff>238125</xdr:rowOff>
                  </to>
                </anchor>
              </controlPr>
            </control>
          </mc:Choice>
        </mc:AlternateContent>
        <mc:AlternateContent xmlns:mc="http://schemas.openxmlformats.org/markup-compatibility/2006">
          <mc:Choice Requires="x14">
            <control shapeId="87096" r:id="rId17" name="Check Box 56">
              <controlPr defaultSize="0" autoFill="0" autoLine="0" autoPict="0">
                <anchor moveWithCells="1">
                  <from>
                    <xdr:col>3</xdr:col>
                    <xdr:colOff>0</xdr:colOff>
                    <xdr:row>16</xdr:row>
                    <xdr:rowOff>219075</xdr:rowOff>
                  </from>
                  <to>
                    <xdr:col>3</xdr:col>
                    <xdr:colOff>676275</xdr:colOff>
                    <xdr:row>16</xdr:row>
                    <xdr:rowOff>428625</xdr:rowOff>
                  </to>
                </anchor>
              </controlPr>
            </control>
          </mc:Choice>
        </mc:AlternateContent>
        <mc:AlternateContent xmlns:mc="http://schemas.openxmlformats.org/markup-compatibility/2006">
          <mc:Choice Requires="x14">
            <control shapeId="87097" r:id="rId18" name="Check Box 57">
              <controlPr defaultSize="0" autoFill="0" autoLine="0" autoPict="0">
                <anchor moveWithCells="1">
                  <from>
                    <xdr:col>3</xdr:col>
                    <xdr:colOff>0</xdr:colOff>
                    <xdr:row>17</xdr:row>
                    <xdr:rowOff>28575</xdr:rowOff>
                  </from>
                  <to>
                    <xdr:col>3</xdr:col>
                    <xdr:colOff>676275</xdr:colOff>
                    <xdr:row>17</xdr:row>
                    <xdr:rowOff>238125</xdr:rowOff>
                  </to>
                </anchor>
              </controlPr>
            </control>
          </mc:Choice>
        </mc:AlternateContent>
        <mc:AlternateContent xmlns:mc="http://schemas.openxmlformats.org/markup-compatibility/2006">
          <mc:Choice Requires="x14">
            <control shapeId="87098" r:id="rId19" name="Check Box 58">
              <controlPr defaultSize="0" autoFill="0" autoLine="0" autoPict="0">
                <anchor moveWithCells="1">
                  <from>
                    <xdr:col>3</xdr:col>
                    <xdr:colOff>0</xdr:colOff>
                    <xdr:row>17</xdr:row>
                    <xdr:rowOff>219075</xdr:rowOff>
                  </from>
                  <to>
                    <xdr:col>3</xdr:col>
                    <xdr:colOff>676275</xdr:colOff>
                    <xdr:row>17</xdr:row>
                    <xdr:rowOff>428625</xdr:rowOff>
                  </to>
                </anchor>
              </controlPr>
            </control>
          </mc:Choice>
        </mc:AlternateContent>
        <mc:AlternateContent xmlns:mc="http://schemas.openxmlformats.org/markup-compatibility/2006">
          <mc:Choice Requires="x14">
            <control shapeId="87099" r:id="rId20" name="Check Box 59">
              <controlPr defaultSize="0" autoFill="0" autoLine="0" autoPict="0">
                <anchor moveWithCells="1">
                  <from>
                    <xdr:col>3</xdr:col>
                    <xdr:colOff>0</xdr:colOff>
                    <xdr:row>18</xdr:row>
                    <xdr:rowOff>28575</xdr:rowOff>
                  </from>
                  <to>
                    <xdr:col>3</xdr:col>
                    <xdr:colOff>676275</xdr:colOff>
                    <xdr:row>18</xdr:row>
                    <xdr:rowOff>238125</xdr:rowOff>
                  </to>
                </anchor>
              </controlPr>
            </control>
          </mc:Choice>
        </mc:AlternateContent>
        <mc:AlternateContent xmlns:mc="http://schemas.openxmlformats.org/markup-compatibility/2006">
          <mc:Choice Requires="x14">
            <control shapeId="87100" r:id="rId21" name="Check Box 60">
              <controlPr defaultSize="0" autoFill="0" autoLine="0" autoPict="0">
                <anchor moveWithCells="1">
                  <from>
                    <xdr:col>3</xdr:col>
                    <xdr:colOff>0</xdr:colOff>
                    <xdr:row>18</xdr:row>
                    <xdr:rowOff>219075</xdr:rowOff>
                  </from>
                  <to>
                    <xdr:col>3</xdr:col>
                    <xdr:colOff>676275</xdr:colOff>
                    <xdr:row>18</xdr:row>
                    <xdr:rowOff>428625</xdr:rowOff>
                  </to>
                </anchor>
              </controlPr>
            </control>
          </mc:Choice>
        </mc:AlternateContent>
        <mc:AlternateContent xmlns:mc="http://schemas.openxmlformats.org/markup-compatibility/2006">
          <mc:Choice Requires="x14">
            <control shapeId="87101" r:id="rId22" name="Check Box 61">
              <controlPr defaultSize="0" autoFill="0" autoLine="0" autoPict="0">
                <anchor moveWithCells="1">
                  <from>
                    <xdr:col>3</xdr:col>
                    <xdr:colOff>0</xdr:colOff>
                    <xdr:row>19</xdr:row>
                    <xdr:rowOff>28575</xdr:rowOff>
                  </from>
                  <to>
                    <xdr:col>3</xdr:col>
                    <xdr:colOff>676275</xdr:colOff>
                    <xdr:row>19</xdr:row>
                    <xdr:rowOff>238125</xdr:rowOff>
                  </to>
                </anchor>
              </controlPr>
            </control>
          </mc:Choice>
        </mc:AlternateContent>
        <mc:AlternateContent xmlns:mc="http://schemas.openxmlformats.org/markup-compatibility/2006">
          <mc:Choice Requires="x14">
            <control shapeId="87102" r:id="rId23" name="Check Box 62">
              <controlPr defaultSize="0" autoFill="0" autoLine="0" autoPict="0">
                <anchor moveWithCells="1">
                  <from>
                    <xdr:col>3</xdr:col>
                    <xdr:colOff>0</xdr:colOff>
                    <xdr:row>19</xdr:row>
                    <xdr:rowOff>219075</xdr:rowOff>
                  </from>
                  <to>
                    <xdr:col>3</xdr:col>
                    <xdr:colOff>676275</xdr:colOff>
                    <xdr:row>19</xdr:row>
                    <xdr:rowOff>428625</xdr:rowOff>
                  </to>
                </anchor>
              </controlPr>
            </control>
          </mc:Choice>
        </mc:AlternateContent>
        <mc:AlternateContent xmlns:mc="http://schemas.openxmlformats.org/markup-compatibility/2006">
          <mc:Choice Requires="x14">
            <control shapeId="87103" r:id="rId24" name="Check Box 63">
              <controlPr defaultSize="0" autoFill="0" autoLine="0" autoPict="0">
                <anchor moveWithCells="1">
                  <from>
                    <xdr:col>3</xdr:col>
                    <xdr:colOff>0</xdr:colOff>
                    <xdr:row>20</xdr:row>
                    <xdr:rowOff>28575</xdr:rowOff>
                  </from>
                  <to>
                    <xdr:col>3</xdr:col>
                    <xdr:colOff>676275</xdr:colOff>
                    <xdr:row>20</xdr:row>
                    <xdr:rowOff>238125</xdr:rowOff>
                  </to>
                </anchor>
              </controlPr>
            </control>
          </mc:Choice>
        </mc:AlternateContent>
        <mc:AlternateContent xmlns:mc="http://schemas.openxmlformats.org/markup-compatibility/2006">
          <mc:Choice Requires="x14">
            <control shapeId="87104" r:id="rId25" name="Check Box 64">
              <controlPr defaultSize="0" autoFill="0" autoLine="0" autoPict="0">
                <anchor moveWithCells="1">
                  <from>
                    <xdr:col>3</xdr:col>
                    <xdr:colOff>0</xdr:colOff>
                    <xdr:row>20</xdr:row>
                    <xdr:rowOff>219075</xdr:rowOff>
                  </from>
                  <to>
                    <xdr:col>3</xdr:col>
                    <xdr:colOff>676275</xdr:colOff>
                    <xdr:row>20</xdr:row>
                    <xdr:rowOff>428625</xdr:rowOff>
                  </to>
                </anchor>
              </controlPr>
            </control>
          </mc:Choice>
        </mc:AlternateContent>
        <mc:AlternateContent xmlns:mc="http://schemas.openxmlformats.org/markup-compatibility/2006">
          <mc:Choice Requires="x14">
            <control shapeId="87105" r:id="rId26" name="Check Box 65">
              <controlPr defaultSize="0" autoFill="0" autoLine="0" autoPict="0">
                <anchor moveWithCells="1">
                  <from>
                    <xdr:col>3</xdr:col>
                    <xdr:colOff>0</xdr:colOff>
                    <xdr:row>21</xdr:row>
                    <xdr:rowOff>28575</xdr:rowOff>
                  </from>
                  <to>
                    <xdr:col>3</xdr:col>
                    <xdr:colOff>676275</xdr:colOff>
                    <xdr:row>21</xdr:row>
                    <xdr:rowOff>238125</xdr:rowOff>
                  </to>
                </anchor>
              </controlPr>
            </control>
          </mc:Choice>
        </mc:AlternateContent>
        <mc:AlternateContent xmlns:mc="http://schemas.openxmlformats.org/markup-compatibility/2006">
          <mc:Choice Requires="x14">
            <control shapeId="87106" r:id="rId27" name="Check Box 66">
              <controlPr defaultSize="0" autoFill="0" autoLine="0" autoPict="0">
                <anchor moveWithCells="1">
                  <from>
                    <xdr:col>3</xdr:col>
                    <xdr:colOff>0</xdr:colOff>
                    <xdr:row>21</xdr:row>
                    <xdr:rowOff>219075</xdr:rowOff>
                  </from>
                  <to>
                    <xdr:col>3</xdr:col>
                    <xdr:colOff>676275</xdr:colOff>
                    <xdr:row>21</xdr:row>
                    <xdr:rowOff>428625</xdr:rowOff>
                  </to>
                </anchor>
              </controlPr>
            </control>
          </mc:Choice>
        </mc:AlternateContent>
        <mc:AlternateContent xmlns:mc="http://schemas.openxmlformats.org/markup-compatibility/2006">
          <mc:Choice Requires="x14">
            <control shapeId="87107" r:id="rId28" name="Check Box 67">
              <controlPr defaultSize="0" autoFill="0" autoLine="0" autoPict="0">
                <anchor moveWithCells="1">
                  <from>
                    <xdr:col>3</xdr:col>
                    <xdr:colOff>0</xdr:colOff>
                    <xdr:row>22</xdr:row>
                    <xdr:rowOff>28575</xdr:rowOff>
                  </from>
                  <to>
                    <xdr:col>3</xdr:col>
                    <xdr:colOff>676275</xdr:colOff>
                    <xdr:row>22</xdr:row>
                    <xdr:rowOff>238125</xdr:rowOff>
                  </to>
                </anchor>
              </controlPr>
            </control>
          </mc:Choice>
        </mc:AlternateContent>
        <mc:AlternateContent xmlns:mc="http://schemas.openxmlformats.org/markup-compatibility/2006">
          <mc:Choice Requires="x14">
            <control shapeId="87108" r:id="rId29" name="Check Box 68">
              <controlPr defaultSize="0" autoFill="0" autoLine="0" autoPict="0">
                <anchor moveWithCells="1">
                  <from>
                    <xdr:col>3</xdr:col>
                    <xdr:colOff>0</xdr:colOff>
                    <xdr:row>22</xdr:row>
                    <xdr:rowOff>219075</xdr:rowOff>
                  </from>
                  <to>
                    <xdr:col>3</xdr:col>
                    <xdr:colOff>676275</xdr:colOff>
                    <xdr:row>22</xdr:row>
                    <xdr:rowOff>428625</xdr:rowOff>
                  </to>
                </anchor>
              </controlPr>
            </control>
          </mc:Choice>
        </mc:AlternateContent>
        <mc:AlternateContent xmlns:mc="http://schemas.openxmlformats.org/markup-compatibility/2006">
          <mc:Choice Requires="x14">
            <control shapeId="87109" r:id="rId30" name="Check Box 69">
              <controlPr defaultSize="0" autoFill="0" autoLine="0" autoPict="0">
                <anchor moveWithCells="1">
                  <from>
                    <xdr:col>3</xdr:col>
                    <xdr:colOff>0</xdr:colOff>
                    <xdr:row>23</xdr:row>
                    <xdr:rowOff>28575</xdr:rowOff>
                  </from>
                  <to>
                    <xdr:col>3</xdr:col>
                    <xdr:colOff>676275</xdr:colOff>
                    <xdr:row>23</xdr:row>
                    <xdr:rowOff>238125</xdr:rowOff>
                  </to>
                </anchor>
              </controlPr>
            </control>
          </mc:Choice>
        </mc:AlternateContent>
        <mc:AlternateContent xmlns:mc="http://schemas.openxmlformats.org/markup-compatibility/2006">
          <mc:Choice Requires="x14">
            <control shapeId="87110" r:id="rId31" name="Check Box 70">
              <controlPr defaultSize="0" autoFill="0" autoLine="0" autoPict="0">
                <anchor moveWithCells="1">
                  <from>
                    <xdr:col>3</xdr:col>
                    <xdr:colOff>0</xdr:colOff>
                    <xdr:row>23</xdr:row>
                    <xdr:rowOff>219075</xdr:rowOff>
                  </from>
                  <to>
                    <xdr:col>3</xdr:col>
                    <xdr:colOff>676275</xdr:colOff>
                    <xdr:row>23</xdr:row>
                    <xdr:rowOff>428625</xdr:rowOff>
                  </to>
                </anchor>
              </controlPr>
            </control>
          </mc:Choice>
        </mc:AlternateContent>
        <mc:AlternateContent xmlns:mc="http://schemas.openxmlformats.org/markup-compatibility/2006">
          <mc:Choice Requires="x14">
            <control shapeId="87111" r:id="rId32" name="Check Box 71">
              <controlPr defaultSize="0" autoFill="0" autoLine="0" autoPict="0">
                <anchor moveWithCells="1">
                  <from>
                    <xdr:col>3</xdr:col>
                    <xdr:colOff>0</xdr:colOff>
                    <xdr:row>24</xdr:row>
                    <xdr:rowOff>28575</xdr:rowOff>
                  </from>
                  <to>
                    <xdr:col>3</xdr:col>
                    <xdr:colOff>676275</xdr:colOff>
                    <xdr:row>24</xdr:row>
                    <xdr:rowOff>238125</xdr:rowOff>
                  </to>
                </anchor>
              </controlPr>
            </control>
          </mc:Choice>
        </mc:AlternateContent>
        <mc:AlternateContent xmlns:mc="http://schemas.openxmlformats.org/markup-compatibility/2006">
          <mc:Choice Requires="x14">
            <control shapeId="87112" r:id="rId33" name="Check Box 72">
              <controlPr defaultSize="0" autoFill="0" autoLine="0" autoPict="0">
                <anchor moveWithCells="1">
                  <from>
                    <xdr:col>3</xdr:col>
                    <xdr:colOff>0</xdr:colOff>
                    <xdr:row>24</xdr:row>
                    <xdr:rowOff>219075</xdr:rowOff>
                  </from>
                  <to>
                    <xdr:col>3</xdr:col>
                    <xdr:colOff>676275</xdr:colOff>
                    <xdr:row>24</xdr:row>
                    <xdr:rowOff>428625</xdr:rowOff>
                  </to>
                </anchor>
              </controlPr>
            </control>
          </mc:Choice>
        </mc:AlternateContent>
        <mc:AlternateContent xmlns:mc="http://schemas.openxmlformats.org/markup-compatibility/2006">
          <mc:Choice Requires="x14">
            <control shapeId="87113" r:id="rId34" name="Check Box 73">
              <controlPr defaultSize="0" autoFill="0" autoLine="0" autoPict="0">
                <anchor moveWithCells="1">
                  <from>
                    <xdr:col>3</xdr:col>
                    <xdr:colOff>0</xdr:colOff>
                    <xdr:row>25</xdr:row>
                    <xdr:rowOff>28575</xdr:rowOff>
                  </from>
                  <to>
                    <xdr:col>3</xdr:col>
                    <xdr:colOff>676275</xdr:colOff>
                    <xdr:row>25</xdr:row>
                    <xdr:rowOff>238125</xdr:rowOff>
                  </to>
                </anchor>
              </controlPr>
            </control>
          </mc:Choice>
        </mc:AlternateContent>
        <mc:AlternateContent xmlns:mc="http://schemas.openxmlformats.org/markup-compatibility/2006">
          <mc:Choice Requires="x14">
            <control shapeId="87114" r:id="rId35" name="Check Box 74">
              <controlPr defaultSize="0" autoFill="0" autoLine="0" autoPict="0">
                <anchor moveWithCells="1">
                  <from>
                    <xdr:col>3</xdr:col>
                    <xdr:colOff>0</xdr:colOff>
                    <xdr:row>25</xdr:row>
                    <xdr:rowOff>219075</xdr:rowOff>
                  </from>
                  <to>
                    <xdr:col>3</xdr:col>
                    <xdr:colOff>676275</xdr:colOff>
                    <xdr:row>25</xdr:row>
                    <xdr:rowOff>428625</xdr:rowOff>
                  </to>
                </anchor>
              </controlPr>
            </control>
          </mc:Choice>
        </mc:AlternateContent>
        <mc:AlternateContent xmlns:mc="http://schemas.openxmlformats.org/markup-compatibility/2006">
          <mc:Choice Requires="x14">
            <control shapeId="87115" r:id="rId36" name="Check Box 75">
              <controlPr defaultSize="0" autoFill="0" autoLine="0" autoPict="0">
                <anchor moveWithCells="1">
                  <from>
                    <xdr:col>3</xdr:col>
                    <xdr:colOff>0</xdr:colOff>
                    <xdr:row>27</xdr:row>
                    <xdr:rowOff>28575</xdr:rowOff>
                  </from>
                  <to>
                    <xdr:col>3</xdr:col>
                    <xdr:colOff>676275</xdr:colOff>
                    <xdr:row>27</xdr:row>
                    <xdr:rowOff>238125</xdr:rowOff>
                  </to>
                </anchor>
              </controlPr>
            </control>
          </mc:Choice>
        </mc:AlternateContent>
        <mc:AlternateContent xmlns:mc="http://schemas.openxmlformats.org/markup-compatibility/2006">
          <mc:Choice Requires="x14">
            <control shapeId="87116" r:id="rId37" name="Check Box 76">
              <controlPr defaultSize="0" autoFill="0" autoLine="0" autoPict="0">
                <anchor moveWithCells="1">
                  <from>
                    <xdr:col>3</xdr:col>
                    <xdr:colOff>0</xdr:colOff>
                    <xdr:row>27</xdr:row>
                    <xdr:rowOff>219075</xdr:rowOff>
                  </from>
                  <to>
                    <xdr:col>3</xdr:col>
                    <xdr:colOff>676275</xdr:colOff>
                    <xdr:row>27</xdr:row>
                    <xdr:rowOff>428625</xdr:rowOff>
                  </to>
                </anchor>
              </controlPr>
            </control>
          </mc:Choice>
        </mc:AlternateContent>
        <mc:AlternateContent xmlns:mc="http://schemas.openxmlformats.org/markup-compatibility/2006">
          <mc:Choice Requires="x14">
            <control shapeId="87117" r:id="rId38" name="Check Box 77">
              <controlPr defaultSize="0" autoFill="0" autoLine="0" autoPict="0">
                <anchor moveWithCells="1">
                  <from>
                    <xdr:col>3</xdr:col>
                    <xdr:colOff>0</xdr:colOff>
                    <xdr:row>28</xdr:row>
                    <xdr:rowOff>28575</xdr:rowOff>
                  </from>
                  <to>
                    <xdr:col>3</xdr:col>
                    <xdr:colOff>676275</xdr:colOff>
                    <xdr:row>28</xdr:row>
                    <xdr:rowOff>238125</xdr:rowOff>
                  </to>
                </anchor>
              </controlPr>
            </control>
          </mc:Choice>
        </mc:AlternateContent>
        <mc:AlternateContent xmlns:mc="http://schemas.openxmlformats.org/markup-compatibility/2006">
          <mc:Choice Requires="x14">
            <control shapeId="87118" r:id="rId39" name="Check Box 78">
              <controlPr defaultSize="0" autoFill="0" autoLine="0" autoPict="0">
                <anchor moveWithCells="1">
                  <from>
                    <xdr:col>3</xdr:col>
                    <xdr:colOff>0</xdr:colOff>
                    <xdr:row>28</xdr:row>
                    <xdr:rowOff>219075</xdr:rowOff>
                  </from>
                  <to>
                    <xdr:col>3</xdr:col>
                    <xdr:colOff>676275</xdr:colOff>
                    <xdr:row>28</xdr:row>
                    <xdr:rowOff>428625</xdr:rowOff>
                  </to>
                </anchor>
              </controlPr>
            </control>
          </mc:Choice>
        </mc:AlternateContent>
        <mc:AlternateContent xmlns:mc="http://schemas.openxmlformats.org/markup-compatibility/2006">
          <mc:Choice Requires="x14">
            <control shapeId="87119" r:id="rId40" name="Check Box 79">
              <controlPr defaultSize="0" autoFill="0" autoLine="0" autoPict="0">
                <anchor moveWithCells="1">
                  <from>
                    <xdr:col>3</xdr:col>
                    <xdr:colOff>0</xdr:colOff>
                    <xdr:row>29</xdr:row>
                    <xdr:rowOff>28575</xdr:rowOff>
                  </from>
                  <to>
                    <xdr:col>3</xdr:col>
                    <xdr:colOff>676275</xdr:colOff>
                    <xdr:row>29</xdr:row>
                    <xdr:rowOff>238125</xdr:rowOff>
                  </to>
                </anchor>
              </controlPr>
            </control>
          </mc:Choice>
        </mc:AlternateContent>
        <mc:AlternateContent xmlns:mc="http://schemas.openxmlformats.org/markup-compatibility/2006">
          <mc:Choice Requires="x14">
            <control shapeId="87120" r:id="rId41" name="Check Box 80">
              <controlPr defaultSize="0" autoFill="0" autoLine="0" autoPict="0">
                <anchor moveWithCells="1">
                  <from>
                    <xdr:col>3</xdr:col>
                    <xdr:colOff>0</xdr:colOff>
                    <xdr:row>29</xdr:row>
                    <xdr:rowOff>219075</xdr:rowOff>
                  </from>
                  <to>
                    <xdr:col>3</xdr:col>
                    <xdr:colOff>676275</xdr:colOff>
                    <xdr:row>29</xdr:row>
                    <xdr:rowOff>428625</xdr:rowOff>
                  </to>
                </anchor>
              </controlPr>
            </control>
          </mc:Choice>
        </mc:AlternateContent>
        <mc:AlternateContent xmlns:mc="http://schemas.openxmlformats.org/markup-compatibility/2006">
          <mc:Choice Requires="x14">
            <control shapeId="87121" r:id="rId42" name="Check Box 81">
              <controlPr defaultSize="0" autoFill="0" autoLine="0" autoPict="0">
                <anchor moveWithCells="1">
                  <from>
                    <xdr:col>3</xdr:col>
                    <xdr:colOff>0</xdr:colOff>
                    <xdr:row>30</xdr:row>
                    <xdr:rowOff>28575</xdr:rowOff>
                  </from>
                  <to>
                    <xdr:col>3</xdr:col>
                    <xdr:colOff>676275</xdr:colOff>
                    <xdr:row>30</xdr:row>
                    <xdr:rowOff>238125</xdr:rowOff>
                  </to>
                </anchor>
              </controlPr>
            </control>
          </mc:Choice>
        </mc:AlternateContent>
        <mc:AlternateContent xmlns:mc="http://schemas.openxmlformats.org/markup-compatibility/2006">
          <mc:Choice Requires="x14">
            <control shapeId="87122" r:id="rId43" name="Check Box 82">
              <controlPr defaultSize="0" autoFill="0" autoLine="0" autoPict="0">
                <anchor moveWithCells="1">
                  <from>
                    <xdr:col>3</xdr:col>
                    <xdr:colOff>0</xdr:colOff>
                    <xdr:row>30</xdr:row>
                    <xdr:rowOff>219075</xdr:rowOff>
                  </from>
                  <to>
                    <xdr:col>3</xdr:col>
                    <xdr:colOff>676275</xdr:colOff>
                    <xdr:row>30</xdr:row>
                    <xdr:rowOff>428625</xdr:rowOff>
                  </to>
                </anchor>
              </controlPr>
            </control>
          </mc:Choice>
        </mc:AlternateContent>
        <mc:AlternateContent xmlns:mc="http://schemas.openxmlformats.org/markup-compatibility/2006">
          <mc:Choice Requires="x14">
            <control shapeId="87125" r:id="rId44" name="Check Box 85">
              <controlPr defaultSize="0" autoFill="0" autoLine="0" autoPict="0">
                <anchor moveWithCells="1">
                  <from>
                    <xdr:col>3</xdr:col>
                    <xdr:colOff>0</xdr:colOff>
                    <xdr:row>31</xdr:row>
                    <xdr:rowOff>28575</xdr:rowOff>
                  </from>
                  <to>
                    <xdr:col>3</xdr:col>
                    <xdr:colOff>676275</xdr:colOff>
                    <xdr:row>31</xdr:row>
                    <xdr:rowOff>238125</xdr:rowOff>
                  </to>
                </anchor>
              </controlPr>
            </control>
          </mc:Choice>
        </mc:AlternateContent>
        <mc:AlternateContent xmlns:mc="http://schemas.openxmlformats.org/markup-compatibility/2006">
          <mc:Choice Requires="x14">
            <control shapeId="87126" r:id="rId45" name="Check Box 86">
              <controlPr defaultSize="0" autoFill="0" autoLine="0" autoPict="0">
                <anchor moveWithCells="1">
                  <from>
                    <xdr:col>3</xdr:col>
                    <xdr:colOff>0</xdr:colOff>
                    <xdr:row>31</xdr:row>
                    <xdr:rowOff>219075</xdr:rowOff>
                  </from>
                  <to>
                    <xdr:col>3</xdr:col>
                    <xdr:colOff>676275</xdr:colOff>
                    <xdr:row>31</xdr:row>
                    <xdr:rowOff>428625</xdr:rowOff>
                  </to>
                </anchor>
              </controlPr>
            </control>
          </mc:Choice>
        </mc:AlternateContent>
        <mc:AlternateContent xmlns:mc="http://schemas.openxmlformats.org/markup-compatibility/2006">
          <mc:Choice Requires="x14">
            <control shapeId="87127" r:id="rId46" name="Check Box 87">
              <controlPr defaultSize="0" autoFill="0" autoLine="0" autoPict="0">
                <anchor moveWithCells="1">
                  <from>
                    <xdr:col>3</xdr:col>
                    <xdr:colOff>0</xdr:colOff>
                    <xdr:row>32</xdr:row>
                    <xdr:rowOff>28575</xdr:rowOff>
                  </from>
                  <to>
                    <xdr:col>3</xdr:col>
                    <xdr:colOff>676275</xdr:colOff>
                    <xdr:row>32</xdr:row>
                    <xdr:rowOff>238125</xdr:rowOff>
                  </to>
                </anchor>
              </controlPr>
            </control>
          </mc:Choice>
        </mc:AlternateContent>
        <mc:AlternateContent xmlns:mc="http://schemas.openxmlformats.org/markup-compatibility/2006">
          <mc:Choice Requires="x14">
            <control shapeId="87128" r:id="rId47" name="Check Box 88">
              <controlPr defaultSize="0" autoFill="0" autoLine="0" autoPict="0">
                <anchor moveWithCells="1">
                  <from>
                    <xdr:col>3</xdr:col>
                    <xdr:colOff>0</xdr:colOff>
                    <xdr:row>32</xdr:row>
                    <xdr:rowOff>219075</xdr:rowOff>
                  </from>
                  <to>
                    <xdr:col>3</xdr:col>
                    <xdr:colOff>676275</xdr:colOff>
                    <xdr:row>32</xdr:row>
                    <xdr:rowOff>428625</xdr:rowOff>
                  </to>
                </anchor>
              </controlPr>
            </control>
          </mc:Choice>
        </mc:AlternateContent>
        <mc:AlternateContent xmlns:mc="http://schemas.openxmlformats.org/markup-compatibility/2006">
          <mc:Choice Requires="x14">
            <control shapeId="87129" r:id="rId48" name="Check Box 89">
              <controlPr defaultSize="0" autoFill="0" autoLine="0" autoPict="0">
                <anchor moveWithCells="1">
                  <from>
                    <xdr:col>3</xdr:col>
                    <xdr:colOff>0</xdr:colOff>
                    <xdr:row>33</xdr:row>
                    <xdr:rowOff>28575</xdr:rowOff>
                  </from>
                  <to>
                    <xdr:col>3</xdr:col>
                    <xdr:colOff>676275</xdr:colOff>
                    <xdr:row>33</xdr:row>
                    <xdr:rowOff>238125</xdr:rowOff>
                  </to>
                </anchor>
              </controlPr>
            </control>
          </mc:Choice>
        </mc:AlternateContent>
        <mc:AlternateContent xmlns:mc="http://schemas.openxmlformats.org/markup-compatibility/2006">
          <mc:Choice Requires="x14">
            <control shapeId="87130" r:id="rId49" name="Check Box 90">
              <controlPr defaultSize="0" autoFill="0" autoLine="0" autoPict="0">
                <anchor moveWithCells="1">
                  <from>
                    <xdr:col>3</xdr:col>
                    <xdr:colOff>0</xdr:colOff>
                    <xdr:row>33</xdr:row>
                    <xdr:rowOff>219075</xdr:rowOff>
                  </from>
                  <to>
                    <xdr:col>3</xdr:col>
                    <xdr:colOff>676275</xdr:colOff>
                    <xdr:row>33</xdr:row>
                    <xdr:rowOff>428625</xdr:rowOff>
                  </to>
                </anchor>
              </controlPr>
            </control>
          </mc:Choice>
        </mc:AlternateContent>
        <mc:AlternateContent xmlns:mc="http://schemas.openxmlformats.org/markup-compatibility/2006">
          <mc:Choice Requires="x14">
            <control shapeId="87137" r:id="rId50" name="Check Box 97">
              <controlPr defaultSize="0" autoFill="0" autoLine="0" autoPict="0">
                <anchor moveWithCells="1">
                  <from>
                    <xdr:col>3</xdr:col>
                    <xdr:colOff>0</xdr:colOff>
                    <xdr:row>26</xdr:row>
                    <xdr:rowOff>28575</xdr:rowOff>
                  </from>
                  <to>
                    <xdr:col>3</xdr:col>
                    <xdr:colOff>676275</xdr:colOff>
                    <xdr:row>26</xdr:row>
                    <xdr:rowOff>238125</xdr:rowOff>
                  </to>
                </anchor>
              </controlPr>
            </control>
          </mc:Choice>
        </mc:AlternateContent>
        <mc:AlternateContent xmlns:mc="http://schemas.openxmlformats.org/markup-compatibility/2006">
          <mc:Choice Requires="x14">
            <control shapeId="87138" r:id="rId51" name="Check Box 98">
              <controlPr defaultSize="0" autoFill="0" autoLine="0" autoPict="0">
                <anchor moveWithCells="1">
                  <from>
                    <xdr:col>3</xdr:col>
                    <xdr:colOff>0</xdr:colOff>
                    <xdr:row>26</xdr:row>
                    <xdr:rowOff>219075</xdr:rowOff>
                  </from>
                  <to>
                    <xdr:col>3</xdr:col>
                    <xdr:colOff>676275</xdr:colOff>
                    <xdr:row>26</xdr:row>
                    <xdr:rowOff>428625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00B050"/>
    <pageSetUpPr fitToPage="1"/>
  </sheetPr>
  <dimension ref="A1:AI119"/>
  <sheetViews>
    <sheetView showGridLines="0" zoomScaleNormal="100" workbookViewId="0">
      <selection sqref="A1:E1"/>
    </sheetView>
  </sheetViews>
  <sheetFormatPr defaultRowHeight="18" customHeight="1" x14ac:dyDescent="0.25"/>
  <cols>
    <col min="1" max="1" width="35.7109375" style="581" bestFit="1" customWidth="1"/>
    <col min="2" max="2" width="27.140625" style="581" customWidth="1"/>
    <col min="3" max="3" width="24.28515625" style="581" customWidth="1"/>
    <col min="4" max="4" width="78.28515625" style="581" bestFit="1" customWidth="1"/>
    <col min="5" max="5" width="18.7109375" style="581" customWidth="1"/>
    <col min="6" max="35" width="9.140625" style="18"/>
    <col min="36" max="16384" width="9.140625" style="581"/>
  </cols>
  <sheetData>
    <row r="1" spans="1:35" s="18" customFormat="1" ht="27.75" customHeight="1" thickBot="1" x14ac:dyDescent="0.3">
      <c r="A1" s="1617" t="s">
        <v>66</v>
      </c>
      <c r="B1" s="1617"/>
      <c r="C1" s="1617"/>
      <c r="D1" s="1617"/>
      <c r="E1" s="1617"/>
    </row>
    <row r="2" spans="1:35" ht="18" customHeight="1" thickBot="1" x14ac:dyDescent="0.3">
      <c r="A2" s="565" t="s">
        <v>33</v>
      </c>
      <c r="B2" s="566" t="s">
        <v>1889</v>
      </c>
      <c r="C2" s="566" t="s">
        <v>34</v>
      </c>
      <c r="D2" s="566" t="s">
        <v>35</v>
      </c>
      <c r="E2" s="567" t="s">
        <v>1890</v>
      </c>
      <c r="G2" s="1621" t="s">
        <v>1927</v>
      </c>
      <c r="H2" s="1622"/>
      <c r="I2" s="1622"/>
      <c r="J2" s="1623"/>
    </row>
    <row r="3" spans="1:35" s="582" customFormat="1" ht="18" customHeight="1" x14ac:dyDescent="0.25">
      <c r="A3" s="554" t="s">
        <v>62</v>
      </c>
      <c r="B3" s="555">
        <v>124389</v>
      </c>
      <c r="C3" s="556" t="s">
        <v>1916</v>
      </c>
      <c r="D3" s="556"/>
      <c r="E3" s="568">
        <v>1</v>
      </c>
      <c r="F3" s="188"/>
      <c r="G3" s="1624"/>
      <c r="H3" s="1625"/>
      <c r="I3" s="1625"/>
      <c r="J3" s="1626"/>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row>
    <row r="4" spans="1:35" s="582" customFormat="1" ht="18" customHeight="1" x14ac:dyDescent="0.25">
      <c r="A4" s="557" t="s">
        <v>63</v>
      </c>
      <c r="B4" s="558">
        <v>74828</v>
      </c>
      <c r="C4" s="559" t="s">
        <v>1917</v>
      </c>
      <c r="D4" s="559"/>
      <c r="E4" s="569">
        <v>25</v>
      </c>
      <c r="F4" s="188"/>
      <c r="G4" s="1624"/>
      <c r="H4" s="1625"/>
      <c r="I4" s="1625"/>
      <c r="J4" s="1626"/>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row>
    <row r="5" spans="1:35" s="582" customFormat="1" ht="18" customHeight="1" x14ac:dyDescent="0.25">
      <c r="A5" s="557" t="s">
        <v>64</v>
      </c>
      <c r="B5" s="558">
        <v>10024972</v>
      </c>
      <c r="C5" s="559" t="s">
        <v>1918</v>
      </c>
      <c r="D5" s="559"/>
      <c r="E5" s="569">
        <v>298</v>
      </c>
      <c r="F5" s="188"/>
      <c r="G5" s="1624"/>
      <c r="H5" s="1625"/>
      <c r="I5" s="1625"/>
      <c r="J5" s="1626"/>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row>
    <row r="6" spans="1:35" s="582" customFormat="1" ht="18" customHeight="1" x14ac:dyDescent="0.25">
      <c r="A6" s="557" t="s">
        <v>65</v>
      </c>
      <c r="B6" s="558">
        <v>2551624</v>
      </c>
      <c r="C6" s="559" t="s">
        <v>1919</v>
      </c>
      <c r="D6" s="559"/>
      <c r="E6" s="569">
        <v>22800</v>
      </c>
      <c r="F6" s="188"/>
      <c r="G6" s="1624"/>
      <c r="H6" s="1625"/>
      <c r="I6" s="1625"/>
      <c r="J6" s="1626"/>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row>
    <row r="7" spans="1:35" s="582" customFormat="1" ht="18" customHeight="1" x14ac:dyDescent="0.25">
      <c r="A7" s="557" t="s">
        <v>2085</v>
      </c>
      <c r="B7" s="558">
        <v>373808</v>
      </c>
      <c r="C7" s="559" t="s">
        <v>1925</v>
      </c>
      <c r="D7" s="559"/>
      <c r="E7" s="569">
        <v>17700</v>
      </c>
      <c r="F7" s="188"/>
      <c r="G7" s="1624"/>
      <c r="H7" s="1625"/>
      <c r="I7" s="1625"/>
      <c r="J7" s="1626"/>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row>
    <row r="8" spans="1:35" s="582" customFormat="1" ht="18" customHeight="1" thickBot="1" x14ac:dyDescent="0.3">
      <c r="A8" s="557" t="s">
        <v>2086</v>
      </c>
      <c r="B8" s="558">
        <v>7783542</v>
      </c>
      <c r="C8" s="559" t="s">
        <v>1926</v>
      </c>
      <c r="D8" s="559"/>
      <c r="E8" s="569">
        <v>17200</v>
      </c>
      <c r="F8" s="188"/>
      <c r="G8" s="1627"/>
      <c r="H8" s="1628"/>
      <c r="I8" s="1628"/>
      <c r="J8" s="1629"/>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row>
    <row r="9" spans="1:35" s="582" customFormat="1" ht="18" customHeight="1" thickBot="1" x14ac:dyDescent="0.3">
      <c r="A9" s="557" t="s">
        <v>2087</v>
      </c>
      <c r="B9" s="558">
        <v>26675467</v>
      </c>
      <c r="C9" s="559" t="s">
        <v>1947</v>
      </c>
      <c r="D9" s="559" t="s">
        <v>1948</v>
      </c>
      <c r="E9" s="569">
        <v>350</v>
      </c>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row>
    <row r="10" spans="1:35" s="582" customFormat="1" ht="30.75" customHeight="1" x14ac:dyDescent="0.25">
      <c r="A10" s="580" t="s">
        <v>2088</v>
      </c>
      <c r="B10" s="558" t="s">
        <v>1995</v>
      </c>
      <c r="C10" s="559" t="s">
        <v>1996</v>
      </c>
      <c r="D10" s="559"/>
      <c r="E10" s="569">
        <v>73</v>
      </c>
      <c r="F10" s="188"/>
      <c r="G10" s="1621" t="s">
        <v>2125</v>
      </c>
      <c r="H10" s="1622"/>
      <c r="I10" s="1622"/>
      <c r="J10" s="1623"/>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row>
    <row r="11" spans="1:35" s="582" customFormat="1" ht="18" customHeight="1" x14ac:dyDescent="0.25">
      <c r="A11" s="557" t="s">
        <v>2089</v>
      </c>
      <c r="B11" s="558">
        <v>920661</v>
      </c>
      <c r="C11" s="559" t="s">
        <v>1997</v>
      </c>
      <c r="D11" s="559"/>
      <c r="E11" s="569">
        <v>195</v>
      </c>
      <c r="F11" s="188"/>
      <c r="G11" s="1624"/>
      <c r="H11" s="1625"/>
      <c r="I11" s="1625"/>
      <c r="J11" s="1626"/>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row>
    <row r="12" spans="1:35" s="582" customFormat="1" ht="18" customHeight="1" x14ac:dyDescent="0.25">
      <c r="A12" s="557" t="s">
        <v>2090</v>
      </c>
      <c r="B12" s="558">
        <v>422059</v>
      </c>
      <c r="C12" s="559" t="s">
        <v>1998</v>
      </c>
      <c r="D12" s="559"/>
      <c r="E12" s="569">
        <v>42</v>
      </c>
      <c r="F12" s="188"/>
      <c r="G12" s="1624"/>
      <c r="H12" s="1625"/>
      <c r="I12" s="1625"/>
      <c r="J12" s="1626"/>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row>
    <row r="13" spans="1:35" s="582" customFormat="1" ht="18" customHeight="1" thickBot="1" x14ac:dyDescent="0.3">
      <c r="A13" s="576" t="s">
        <v>2091</v>
      </c>
      <c r="B13" s="577" t="s">
        <v>1995</v>
      </c>
      <c r="C13" s="572" t="s">
        <v>1999</v>
      </c>
      <c r="D13" s="578" t="s">
        <v>1994</v>
      </c>
      <c r="E13" s="579">
        <v>10300</v>
      </c>
      <c r="F13" s="188"/>
      <c r="G13" s="1624"/>
      <c r="H13" s="1625"/>
      <c r="I13" s="1625"/>
      <c r="J13" s="1626"/>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188"/>
      <c r="AH13" s="188"/>
      <c r="AI13" s="188"/>
    </row>
    <row r="14" spans="1:35" s="18" customFormat="1" ht="9.9499999999999993" customHeight="1" thickBot="1" x14ac:dyDescent="0.3">
      <c r="G14" s="1624"/>
      <c r="H14" s="1625"/>
      <c r="I14" s="1625"/>
      <c r="J14" s="1626"/>
    </row>
    <row r="15" spans="1:35" ht="18" customHeight="1" thickBot="1" x14ac:dyDescent="0.3">
      <c r="A15" s="1618" t="s">
        <v>31</v>
      </c>
      <c r="B15" s="1619"/>
      <c r="C15" s="1619"/>
      <c r="D15" s="1619"/>
      <c r="E15" s="1620"/>
      <c r="G15" s="1624"/>
      <c r="H15" s="1625"/>
      <c r="I15" s="1625"/>
      <c r="J15" s="1626"/>
    </row>
    <row r="16" spans="1:35" ht="18" customHeight="1" thickBot="1" x14ac:dyDescent="0.3">
      <c r="A16" s="565" t="s">
        <v>33</v>
      </c>
      <c r="B16" s="566" t="s">
        <v>1889</v>
      </c>
      <c r="C16" s="566" t="s">
        <v>34</v>
      </c>
      <c r="D16" s="566" t="s">
        <v>35</v>
      </c>
      <c r="E16" s="567" t="s">
        <v>1890</v>
      </c>
      <c r="G16" s="1624"/>
      <c r="H16" s="1625"/>
      <c r="I16" s="1625"/>
      <c r="J16" s="1626"/>
    </row>
    <row r="17" spans="1:35" s="582" customFormat="1" ht="18" customHeight="1" thickBot="1" x14ac:dyDescent="0.3">
      <c r="A17" s="554" t="s">
        <v>1929</v>
      </c>
      <c r="B17" s="555">
        <v>75730</v>
      </c>
      <c r="C17" s="556" t="s">
        <v>1910</v>
      </c>
      <c r="D17" s="556" t="s">
        <v>1928</v>
      </c>
      <c r="E17" s="568">
        <v>7390</v>
      </c>
      <c r="F17" s="188"/>
      <c r="G17" s="1627"/>
      <c r="H17" s="1628"/>
      <c r="I17" s="1628"/>
      <c r="J17" s="1629"/>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row>
    <row r="18" spans="1:35" s="582" customFormat="1" ht="18" customHeight="1" x14ac:dyDescent="0.25">
      <c r="A18" s="557" t="s">
        <v>1930</v>
      </c>
      <c r="B18" s="558">
        <v>76164</v>
      </c>
      <c r="C18" s="559" t="s">
        <v>1911</v>
      </c>
      <c r="D18" s="559" t="s">
        <v>1931</v>
      </c>
      <c r="E18" s="569">
        <v>12200</v>
      </c>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row>
    <row r="19" spans="1:35" s="582" customFormat="1" ht="18" customHeight="1" x14ac:dyDescent="0.25">
      <c r="A19" s="557" t="s">
        <v>1932</v>
      </c>
      <c r="B19" s="558">
        <v>76197</v>
      </c>
      <c r="C19" s="559" t="s">
        <v>1912</v>
      </c>
      <c r="D19" s="559" t="s">
        <v>1933</v>
      </c>
      <c r="E19" s="569">
        <v>8830</v>
      </c>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row>
    <row r="20" spans="1:35" s="582" customFormat="1" ht="18" customHeight="1" x14ac:dyDescent="0.25">
      <c r="A20" s="557" t="s">
        <v>1934</v>
      </c>
      <c r="B20" s="558">
        <v>931919</v>
      </c>
      <c r="C20" s="559" t="s">
        <v>1935</v>
      </c>
      <c r="D20" s="559"/>
      <c r="E20" s="569">
        <v>17340</v>
      </c>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row>
    <row r="21" spans="1:35" s="582" customFormat="1" ht="18" customHeight="1" x14ac:dyDescent="0.25">
      <c r="A21" s="557" t="s">
        <v>1936</v>
      </c>
      <c r="B21" s="558">
        <v>355259</v>
      </c>
      <c r="C21" s="559" t="s">
        <v>1913</v>
      </c>
      <c r="D21" s="559" t="s">
        <v>1937</v>
      </c>
      <c r="E21" s="569">
        <v>8860</v>
      </c>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row>
    <row r="22" spans="1:35" s="582" customFormat="1" ht="18" customHeight="1" x14ac:dyDescent="0.25">
      <c r="A22" s="557" t="s">
        <v>1938</v>
      </c>
      <c r="B22" s="558">
        <v>115253</v>
      </c>
      <c r="C22" s="559" t="s">
        <v>1939</v>
      </c>
      <c r="D22" s="560" t="s">
        <v>1940</v>
      </c>
      <c r="E22" s="574">
        <v>10300</v>
      </c>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row>
    <row r="23" spans="1:35" s="582" customFormat="1" ht="18" customHeight="1" x14ac:dyDescent="0.25">
      <c r="A23" s="561" t="s">
        <v>1943</v>
      </c>
      <c r="B23" s="562">
        <v>678262</v>
      </c>
      <c r="C23" s="559" t="s">
        <v>1914</v>
      </c>
      <c r="D23" s="560" t="s">
        <v>1941</v>
      </c>
      <c r="E23" s="574">
        <v>9160</v>
      </c>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row>
    <row r="24" spans="1:35" s="582" customFormat="1" ht="18" customHeight="1" x14ac:dyDescent="0.25">
      <c r="A24" s="557" t="s">
        <v>1944</v>
      </c>
      <c r="B24" s="558">
        <v>355420</v>
      </c>
      <c r="C24" s="559" t="s">
        <v>1915</v>
      </c>
      <c r="D24" s="559" t="s">
        <v>1942</v>
      </c>
      <c r="E24" s="569">
        <v>9300</v>
      </c>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row>
    <row r="25" spans="1:35" s="582" customFormat="1" ht="18" customHeight="1" thickBot="1" x14ac:dyDescent="0.3">
      <c r="A25" s="576" t="s">
        <v>1945</v>
      </c>
      <c r="B25" s="577">
        <v>306945</v>
      </c>
      <c r="C25" s="572" t="s">
        <v>1946</v>
      </c>
      <c r="D25" s="578"/>
      <c r="E25" s="579">
        <v>7500</v>
      </c>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row>
    <row r="26" spans="1:35" s="18" customFormat="1" ht="9.9499999999999993" customHeight="1" thickBot="1" x14ac:dyDescent="0.3"/>
    <row r="27" spans="1:35" ht="18" customHeight="1" thickBot="1" x14ac:dyDescent="0.3">
      <c r="A27" s="1618" t="s">
        <v>32</v>
      </c>
      <c r="B27" s="1619"/>
      <c r="C27" s="1619"/>
      <c r="D27" s="1619"/>
      <c r="E27" s="1620"/>
    </row>
    <row r="28" spans="1:35" ht="18" customHeight="1" thickBot="1" x14ac:dyDescent="0.3">
      <c r="A28" s="565" t="s">
        <v>33</v>
      </c>
      <c r="B28" s="566" t="s">
        <v>1889</v>
      </c>
      <c r="C28" s="566" t="s">
        <v>34</v>
      </c>
      <c r="D28" s="566" t="s">
        <v>35</v>
      </c>
      <c r="E28" s="567" t="s">
        <v>1890</v>
      </c>
    </row>
    <row r="29" spans="1:35" s="582" customFormat="1" ht="18" customHeight="1" x14ac:dyDescent="0.25">
      <c r="A29" s="554" t="s">
        <v>39</v>
      </c>
      <c r="B29" s="555">
        <v>75467</v>
      </c>
      <c r="C29" s="556" t="s">
        <v>1896</v>
      </c>
      <c r="D29" s="556" t="s">
        <v>36</v>
      </c>
      <c r="E29" s="568">
        <v>14800</v>
      </c>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row>
    <row r="30" spans="1:35" s="582" customFormat="1" ht="18" customHeight="1" x14ac:dyDescent="0.25">
      <c r="A30" s="557" t="s">
        <v>40</v>
      </c>
      <c r="B30" s="558">
        <v>75105</v>
      </c>
      <c r="C30" s="559" t="s">
        <v>1897</v>
      </c>
      <c r="D30" s="559" t="s">
        <v>37</v>
      </c>
      <c r="E30" s="569">
        <v>675</v>
      </c>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row>
    <row r="31" spans="1:35" s="582" customFormat="1" ht="18" customHeight="1" x14ac:dyDescent="0.25">
      <c r="A31" s="557" t="s">
        <v>41</v>
      </c>
      <c r="B31" s="558">
        <v>593533</v>
      </c>
      <c r="C31" s="559" t="s">
        <v>1898</v>
      </c>
      <c r="D31" s="559" t="s">
        <v>38</v>
      </c>
      <c r="E31" s="569">
        <v>92</v>
      </c>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row>
    <row r="32" spans="1:35" s="582" customFormat="1" ht="18" customHeight="1" x14ac:dyDescent="0.25">
      <c r="A32" s="557" t="s">
        <v>43</v>
      </c>
      <c r="B32" s="558">
        <v>354336</v>
      </c>
      <c r="C32" s="559" t="s">
        <v>1899</v>
      </c>
      <c r="D32" s="559" t="s">
        <v>52</v>
      </c>
      <c r="E32" s="569">
        <v>3500</v>
      </c>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row>
    <row r="33" spans="1:35" s="582" customFormat="1" ht="18" customHeight="1" x14ac:dyDescent="0.25">
      <c r="A33" s="557" t="s">
        <v>44</v>
      </c>
      <c r="B33" s="558">
        <v>359353</v>
      </c>
      <c r="C33" s="559" t="s">
        <v>1900</v>
      </c>
      <c r="D33" s="559" t="s">
        <v>45</v>
      </c>
      <c r="E33" s="569">
        <v>1100</v>
      </c>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row>
    <row r="34" spans="1:35" s="582" customFormat="1" ht="18" customHeight="1" x14ac:dyDescent="0.25">
      <c r="A34" s="557" t="s">
        <v>46</v>
      </c>
      <c r="B34" s="558">
        <v>811972</v>
      </c>
      <c r="C34" s="559" t="s">
        <v>1901</v>
      </c>
      <c r="D34" s="559" t="s">
        <v>53</v>
      </c>
      <c r="E34" s="569">
        <v>1430</v>
      </c>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row>
    <row r="35" spans="1:35" s="582" customFormat="1" ht="18" customHeight="1" x14ac:dyDescent="0.25">
      <c r="A35" s="557" t="s">
        <v>57</v>
      </c>
      <c r="B35" s="558">
        <v>430660</v>
      </c>
      <c r="C35" s="559" t="s">
        <v>1902</v>
      </c>
      <c r="D35" s="559" t="s">
        <v>58</v>
      </c>
      <c r="E35" s="569">
        <v>353</v>
      </c>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row>
    <row r="36" spans="1:35" s="582" customFormat="1" ht="18" customHeight="1" x14ac:dyDescent="0.25">
      <c r="A36" s="557" t="s">
        <v>48</v>
      </c>
      <c r="B36" s="558">
        <v>420462</v>
      </c>
      <c r="C36" s="559" t="s">
        <v>1902</v>
      </c>
      <c r="D36" s="559" t="s">
        <v>55</v>
      </c>
      <c r="E36" s="569">
        <v>4470</v>
      </c>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row>
    <row r="37" spans="1:35" s="582" customFormat="1" ht="18" customHeight="1" x14ac:dyDescent="0.25">
      <c r="A37" s="557" t="s">
        <v>1891</v>
      </c>
      <c r="B37" s="558">
        <v>624726</v>
      </c>
      <c r="C37" s="559" t="s">
        <v>1903</v>
      </c>
      <c r="D37" s="559"/>
      <c r="E37" s="569">
        <v>53</v>
      </c>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row>
    <row r="38" spans="1:35" s="582" customFormat="1" ht="18" customHeight="1" x14ac:dyDescent="0.25">
      <c r="A38" s="557" t="s">
        <v>47</v>
      </c>
      <c r="B38" s="558">
        <v>75376</v>
      </c>
      <c r="C38" s="559" t="s">
        <v>1904</v>
      </c>
      <c r="D38" s="559" t="s">
        <v>54</v>
      </c>
      <c r="E38" s="569">
        <v>124</v>
      </c>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row>
    <row r="39" spans="1:35" s="582" customFormat="1" ht="18" customHeight="1" x14ac:dyDescent="0.25">
      <c r="A39" s="557" t="s">
        <v>1892</v>
      </c>
      <c r="B39" s="558">
        <v>353366</v>
      </c>
      <c r="C39" s="559" t="s">
        <v>1905</v>
      </c>
      <c r="D39" s="559"/>
      <c r="E39" s="569">
        <v>12</v>
      </c>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row>
    <row r="40" spans="1:35" s="582" customFormat="1" ht="18" customHeight="1" x14ac:dyDescent="0.25">
      <c r="A40" s="557" t="s">
        <v>49</v>
      </c>
      <c r="B40" s="558">
        <v>431890</v>
      </c>
      <c r="C40" s="559" t="s">
        <v>1906</v>
      </c>
      <c r="D40" s="559" t="s">
        <v>56</v>
      </c>
      <c r="E40" s="569">
        <v>3220</v>
      </c>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row>
    <row r="41" spans="1:35" s="582" customFormat="1" ht="18" customHeight="1" x14ac:dyDescent="0.25">
      <c r="A41" s="557" t="s">
        <v>1893</v>
      </c>
      <c r="B41" s="558">
        <v>677565</v>
      </c>
      <c r="C41" s="559" t="s">
        <v>1907</v>
      </c>
      <c r="D41" s="559"/>
      <c r="E41" s="569">
        <v>1340</v>
      </c>
      <c r="F41" s="188"/>
      <c r="G41" s="188"/>
      <c r="H41" s="188"/>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row>
    <row r="42" spans="1:35" s="582" customFormat="1" ht="18" customHeight="1" x14ac:dyDescent="0.25">
      <c r="A42" s="557" t="s">
        <v>1894</v>
      </c>
      <c r="B42" s="558">
        <v>431630</v>
      </c>
      <c r="C42" s="559" t="s">
        <v>1895</v>
      </c>
      <c r="D42" s="559"/>
      <c r="E42" s="569">
        <v>1370</v>
      </c>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row>
    <row r="43" spans="1:35" s="582" customFormat="1" ht="18" customHeight="1" x14ac:dyDescent="0.25">
      <c r="A43" s="557" t="s">
        <v>50</v>
      </c>
      <c r="B43" s="558">
        <v>690391</v>
      </c>
      <c r="C43" s="559" t="s">
        <v>1908</v>
      </c>
      <c r="D43" s="559" t="s">
        <v>59</v>
      </c>
      <c r="E43" s="569">
        <v>9810</v>
      </c>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row>
    <row r="44" spans="1:35" s="582" customFormat="1" ht="18" customHeight="1" x14ac:dyDescent="0.25">
      <c r="A44" s="557" t="s">
        <v>60</v>
      </c>
      <c r="B44" s="558">
        <v>679867</v>
      </c>
      <c r="C44" s="559" t="s">
        <v>1909</v>
      </c>
      <c r="D44" s="559" t="s">
        <v>61</v>
      </c>
      <c r="E44" s="569">
        <v>693</v>
      </c>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row>
    <row r="45" spans="1:35" s="582" customFormat="1" ht="18" customHeight="1" x14ac:dyDescent="0.25">
      <c r="A45" s="563" t="s">
        <v>1920</v>
      </c>
      <c r="B45" s="564">
        <v>460731</v>
      </c>
      <c r="C45" s="559" t="s">
        <v>1921</v>
      </c>
      <c r="D45" s="559"/>
      <c r="E45" s="575">
        <v>1030</v>
      </c>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row>
    <row r="46" spans="1:35" s="582" customFormat="1" ht="18" customHeight="1" x14ac:dyDescent="0.25">
      <c r="A46" s="563" t="s">
        <v>1922</v>
      </c>
      <c r="B46" s="564">
        <v>406586</v>
      </c>
      <c r="C46" s="559" t="s">
        <v>1923</v>
      </c>
      <c r="D46" s="559"/>
      <c r="E46" s="575">
        <v>794</v>
      </c>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row>
    <row r="47" spans="1:35" s="582" customFormat="1" ht="18" customHeight="1" thickBot="1" x14ac:dyDescent="0.3">
      <c r="A47" s="570" t="s">
        <v>42</v>
      </c>
      <c r="B47" s="571">
        <v>138495428</v>
      </c>
      <c r="C47" s="572" t="s">
        <v>1924</v>
      </c>
      <c r="D47" s="572" t="s">
        <v>51</v>
      </c>
      <c r="E47" s="573">
        <v>1640</v>
      </c>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row>
    <row r="48" spans="1:35" s="18" customFormat="1" ht="9.9499999999999993" customHeight="1" thickBot="1" x14ac:dyDescent="0.3"/>
    <row r="49" spans="1:35" s="18" customFormat="1" ht="18" customHeight="1" thickBot="1" x14ac:dyDescent="0.3">
      <c r="A49" s="1618" t="s">
        <v>1949</v>
      </c>
      <c r="B49" s="1619"/>
      <c r="C49" s="1619"/>
      <c r="D49" s="1619"/>
      <c r="E49" s="1620"/>
    </row>
    <row r="50" spans="1:35" s="18" customFormat="1" ht="18" customHeight="1" thickBot="1" x14ac:dyDescent="0.3">
      <c r="A50" s="565" t="s">
        <v>33</v>
      </c>
      <c r="B50" s="566" t="s">
        <v>1889</v>
      </c>
      <c r="C50" s="566" t="s">
        <v>34</v>
      </c>
      <c r="D50" s="566" t="s">
        <v>35</v>
      </c>
      <c r="E50" s="567" t="s">
        <v>1890</v>
      </c>
    </row>
    <row r="51" spans="1:35" s="582" customFormat="1" ht="18" customHeight="1" x14ac:dyDescent="0.25">
      <c r="A51" s="554" t="s">
        <v>2093</v>
      </c>
      <c r="B51" s="555" t="s">
        <v>1950</v>
      </c>
      <c r="C51" s="556" t="s">
        <v>1951</v>
      </c>
      <c r="D51" s="556" t="s">
        <v>1952</v>
      </c>
      <c r="E51" s="568">
        <v>1870</v>
      </c>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row>
    <row r="52" spans="1:35" s="582" customFormat="1" ht="18" customHeight="1" x14ac:dyDescent="0.25">
      <c r="A52" s="563" t="s">
        <v>2092</v>
      </c>
      <c r="B52" s="564">
        <v>3822682</v>
      </c>
      <c r="C52" s="559" t="s">
        <v>1953</v>
      </c>
      <c r="D52" s="559"/>
      <c r="E52" s="575">
        <v>14900</v>
      </c>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row>
    <row r="53" spans="1:35" s="582" customFormat="1" ht="18" customHeight="1" x14ac:dyDescent="0.25">
      <c r="A53" s="563" t="s">
        <v>2094</v>
      </c>
      <c r="B53" s="564">
        <v>1691174</v>
      </c>
      <c r="C53" s="559" t="s">
        <v>1956</v>
      </c>
      <c r="D53" s="559"/>
      <c r="E53" s="575">
        <v>6320</v>
      </c>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row>
    <row r="54" spans="1:35" s="582" customFormat="1" ht="18" customHeight="1" x14ac:dyDescent="0.25">
      <c r="A54" s="563" t="s">
        <v>2095</v>
      </c>
      <c r="B54" s="564">
        <v>421147</v>
      </c>
      <c r="C54" s="559" t="s">
        <v>1957</v>
      </c>
      <c r="D54" s="559"/>
      <c r="E54" s="575">
        <v>756</v>
      </c>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row>
    <row r="55" spans="1:35" s="582" customFormat="1" ht="18" customHeight="1" x14ac:dyDescent="0.25">
      <c r="A55" s="563" t="s">
        <v>2096</v>
      </c>
      <c r="B55" s="564">
        <v>2356629</v>
      </c>
      <c r="C55" s="559" t="s">
        <v>1958</v>
      </c>
      <c r="D55" s="559"/>
      <c r="E55" s="575">
        <v>1540</v>
      </c>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row>
    <row r="56" spans="1:35" s="582" customFormat="1" ht="18" customHeight="1" x14ac:dyDescent="0.25">
      <c r="A56" s="563" t="s">
        <v>2097</v>
      </c>
      <c r="B56" s="564">
        <v>78522471</v>
      </c>
      <c r="C56" s="559" t="s">
        <v>1959</v>
      </c>
      <c r="D56" s="559" t="s">
        <v>1960</v>
      </c>
      <c r="E56" s="575">
        <v>2800</v>
      </c>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row>
    <row r="57" spans="1:35" s="582" customFormat="1" ht="18" customHeight="1" x14ac:dyDescent="0.25">
      <c r="A57" s="563" t="s">
        <v>2098</v>
      </c>
      <c r="B57" s="564">
        <v>57041675</v>
      </c>
      <c r="C57" s="559" t="s">
        <v>1961</v>
      </c>
      <c r="D57" s="559" t="s">
        <v>1962</v>
      </c>
      <c r="E57" s="575">
        <v>989</v>
      </c>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row>
    <row r="58" spans="1:35" s="582" customFormat="1" ht="18" customHeight="1" x14ac:dyDescent="0.25">
      <c r="A58" s="563" t="s">
        <v>2099</v>
      </c>
      <c r="B58" s="564">
        <v>20193673</v>
      </c>
      <c r="C58" s="559" t="s">
        <v>1963</v>
      </c>
      <c r="D58" s="559"/>
      <c r="E58" s="575">
        <v>487</v>
      </c>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row>
    <row r="59" spans="1:35" s="582" customFormat="1" ht="18" customHeight="1" x14ac:dyDescent="0.25">
      <c r="A59" s="563" t="s">
        <v>2100</v>
      </c>
      <c r="B59" s="564">
        <v>22410442</v>
      </c>
      <c r="C59" s="559" t="s">
        <v>1964</v>
      </c>
      <c r="D59" s="559"/>
      <c r="E59" s="575">
        <v>708</v>
      </c>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row>
    <row r="60" spans="1:35" s="582" customFormat="1" ht="18" customHeight="1" x14ac:dyDescent="0.25">
      <c r="A60" s="563" t="s">
        <v>2101</v>
      </c>
      <c r="B60" s="564">
        <v>84011154</v>
      </c>
      <c r="C60" s="559" t="s">
        <v>1965</v>
      </c>
      <c r="D60" s="559"/>
      <c r="E60" s="575">
        <v>286</v>
      </c>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row>
    <row r="61" spans="1:35" s="582" customFormat="1" ht="18" customHeight="1" x14ac:dyDescent="0.25">
      <c r="A61" s="563" t="s">
        <v>2102</v>
      </c>
      <c r="B61" s="564">
        <v>1885489</v>
      </c>
      <c r="C61" s="559" t="s">
        <v>1966</v>
      </c>
      <c r="D61" s="559"/>
      <c r="E61" s="575">
        <v>659</v>
      </c>
      <c r="F61" s="188"/>
      <c r="G61" s="188"/>
      <c r="H61" s="188"/>
      <c r="I61" s="188"/>
      <c r="J61" s="188"/>
      <c r="K61" s="188"/>
      <c r="L61" s="188"/>
      <c r="M61" s="188"/>
      <c r="N61" s="188"/>
      <c r="O61" s="188"/>
      <c r="P61" s="188"/>
      <c r="Q61" s="188"/>
      <c r="R61" s="188"/>
      <c r="S61" s="188"/>
      <c r="T61" s="188"/>
      <c r="U61" s="188"/>
      <c r="V61" s="188"/>
      <c r="W61" s="188"/>
      <c r="X61" s="188"/>
      <c r="Y61" s="188"/>
      <c r="Z61" s="188"/>
      <c r="AA61" s="188"/>
      <c r="AB61" s="188"/>
      <c r="AC61" s="188"/>
      <c r="AD61" s="188"/>
      <c r="AE61" s="188"/>
      <c r="AF61" s="188"/>
      <c r="AG61" s="188"/>
      <c r="AH61" s="188"/>
      <c r="AI61" s="188"/>
    </row>
    <row r="62" spans="1:35" s="582" customFormat="1" ht="18" customHeight="1" x14ac:dyDescent="0.25">
      <c r="A62" s="563" t="s">
        <v>2103</v>
      </c>
      <c r="B62" s="564">
        <v>425887</v>
      </c>
      <c r="C62" s="559" t="s">
        <v>1967</v>
      </c>
      <c r="D62" s="559"/>
      <c r="E62" s="575">
        <v>359</v>
      </c>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row>
    <row r="63" spans="1:35" s="582" customFormat="1" ht="18" customHeight="1" x14ac:dyDescent="0.25">
      <c r="A63" s="563" t="s">
        <v>2104</v>
      </c>
      <c r="B63" s="564">
        <v>460435</v>
      </c>
      <c r="C63" s="559" t="s">
        <v>1968</v>
      </c>
      <c r="D63" s="559"/>
      <c r="E63" s="575">
        <v>11</v>
      </c>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row>
    <row r="64" spans="1:35" s="582" customFormat="1" ht="18" customHeight="1" x14ac:dyDescent="0.25">
      <c r="A64" s="563" t="s">
        <v>2105</v>
      </c>
      <c r="B64" s="564">
        <v>134769214</v>
      </c>
      <c r="C64" s="559" t="s">
        <v>1969</v>
      </c>
      <c r="D64" s="559"/>
      <c r="E64" s="575">
        <v>919</v>
      </c>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row>
    <row r="65" spans="1:35" s="582" customFormat="1" ht="18" customHeight="1" x14ac:dyDescent="0.25">
      <c r="A65" s="563" t="s">
        <v>2106</v>
      </c>
      <c r="B65" s="564">
        <v>156053882</v>
      </c>
      <c r="C65" s="559" t="s">
        <v>1970</v>
      </c>
      <c r="D65" s="559"/>
      <c r="E65" s="575">
        <v>552</v>
      </c>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8"/>
      <c r="AI65" s="188"/>
    </row>
    <row r="66" spans="1:35" s="582" customFormat="1" ht="18" customHeight="1" x14ac:dyDescent="0.25">
      <c r="A66" s="563" t="s">
        <v>2107</v>
      </c>
      <c r="B66" s="564">
        <v>188690780</v>
      </c>
      <c r="C66" s="559" t="s">
        <v>1971</v>
      </c>
      <c r="D66" s="559" t="s">
        <v>1972</v>
      </c>
      <c r="E66" s="575">
        <v>1500</v>
      </c>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8"/>
      <c r="AI66" s="188"/>
    </row>
    <row r="67" spans="1:35" s="582" customFormat="1" ht="18" customHeight="1" x14ac:dyDescent="0.25">
      <c r="A67" s="563" t="s">
        <v>2108</v>
      </c>
      <c r="B67" s="564">
        <v>375031</v>
      </c>
      <c r="C67" s="559" t="s">
        <v>1973</v>
      </c>
      <c r="D67" s="559" t="s">
        <v>1982</v>
      </c>
      <c r="E67" s="575">
        <v>575</v>
      </c>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row>
    <row r="68" spans="1:35" s="582" customFormat="1" ht="18" customHeight="1" x14ac:dyDescent="0.25">
      <c r="A68" s="563" t="s">
        <v>2109</v>
      </c>
      <c r="B68" s="564">
        <v>171182959</v>
      </c>
      <c r="C68" s="559" t="s">
        <v>1974</v>
      </c>
      <c r="D68" s="559"/>
      <c r="E68" s="575">
        <v>374</v>
      </c>
      <c r="F68" s="188"/>
      <c r="G68" s="188"/>
      <c r="H68" s="188"/>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188"/>
      <c r="AH68" s="188"/>
      <c r="AI68" s="188"/>
    </row>
    <row r="69" spans="1:35" s="582" customFormat="1" ht="18" customHeight="1" x14ac:dyDescent="0.25">
      <c r="A69" s="563" t="s">
        <v>2110</v>
      </c>
      <c r="B69" s="564">
        <v>406780</v>
      </c>
      <c r="C69" s="559" t="s">
        <v>1975</v>
      </c>
      <c r="D69" s="559"/>
      <c r="E69" s="575">
        <v>580</v>
      </c>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row>
    <row r="70" spans="1:35" s="582" customFormat="1" ht="18" customHeight="1" x14ac:dyDescent="0.25">
      <c r="A70" s="563" t="s">
        <v>2111</v>
      </c>
      <c r="B70" s="564">
        <v>382343</v>
      </c>
      <c r="C70" s="559" t="s">
        <v>1976</v>
      </c>
      <c r="D70" s="559"/>
      <c r="E70" s="575">
        <v>101</v>
      </c>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row>
    <row r="71" spans="1:35" s="582" customFormat="1" ht="18" customHeight="1" x14ac:dyDescent="0.25">
      <c r="A71" s="563" t="s">
        <v>2112</v>
      </c>
      <c r="B71" s="564">
        <v>160620202</v>
      </c>
      <c r="C71" s="559" t="s">
        <v>1977</v>
      </c>
      <c r="D71" s="559"/>
      <c r="E71" s="575">
        <v>110</v>
      </c>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row>
    <row r="72" spans="1:35" s="582" customFormat="1" ht="18" customHeight="1" x14ac:dyDescent="0.25">
      <c r="A72" s="563" t="s">
        <v>2113</v>
      </c>
      <c r="B72" s="564">
        <v>50807777</v>
      </c>
      <c r="C72" s="559" t="s">
        <v>1978</v>
      </c>
      <c r="D72" s="559"/>
      <c r="E72" s="575">
        <v>265</v>
      </c>
      <c r="F72" s="188"/>
      <c r="G72" s="188"/>
      <c r="H72" s="188"/>
      <c r="I72" s="188"/>
      <c r="J72" s="188"/>
      <c r="K72" s="188"/>
      <c r="L72" s="188"/>
      <c r="M72" s="188"/>
      <c r="N72" s="188"/>
      <c r="O72" s="188"/>
      <c r="P72" s="188"/>
      <c r="Q72" s="188"/>
      <c r="R72" s="188"/>
      <c r="S72" s="188"/>
      <c r="T72" s="188"/>
      <c r="U72" s="188"/>
      <c r="V72" s="188"/>
      <c r="W72" s="188"/>
      <c r="X72" s="188"/>
      <c r="Y72" s="188"/>
      <c r="Z72" s="188"/>
      <c r="AA72" s="188"/>
      <c r="AB72" s="188"/>
      <c r="AC72" s="188"/>
      <c r="AD72" s="188"/>
      <c r="AE72" s="188"/>
      <c r="AF72" s="188"/>
      <c r="AG72" s="188"/>
      <c r="AH72" s="188"/>
      <c r="AI72" s="188"/>
    </row>
    <row r="73" spans="1:35" s="582" customFormat="1" ht="18" customHeight="1" x14ac:dyDescent="0.25">
      <c r="A73" s="563" t="s">
        <v>2114</v>
      </c>
      <c r="B73" s="564">
        <v>35042990</v>
      </c>
      <c r="C73" s="559" t="s">
        <v>1979</v>
      </c>
      <c r="D73" s="559"/>
      <c r="E73" s="575">
        <v>502</v>
      </c>
      <c r="F73" s="188"/>
      <c r="G73" s="188"/>
      <c r="H73" s="188"/>
      <c r="I73" s="188"/>
      <c r="J73" s="188"/>
      <c r="K73" s="188"/>
      <c r="L73" s="188"/>
      <c r="M73" s="188"/>
      <c r="N73" s="188"/>
      <c r="O73" s="188"/>
      <c r="P73" s="188"/>
      <c r="Q73" s="188"/>
      <c r="R73" s="188"/>
      <c r="S73" s="188"/>
      <c r="T73" s="188"/>
      <c r="U73" s="188"/>
      <c r="V73" s="188"/>
      <c r="W73" s="188"/>
      <c r="X73" s="188"/>
      <c r="Y73" s="188"/>
      <c r="Z73" s="188"/>
      <c r="AA73" s="188"/>
      <c r="AB73" s="188"/>
      <c r="AC73" s="188"/>
      <c r="AD73" s="188"/>
      <c r="AE73" s="188"/>
      <c r="AF73" s="188"/>
      <c r="AG73" s="188"/>
      <c r="AH73" s="188"/>
      <c r="AI73" s="188"/>
    </row>
    <row r="74" spans="1:35" s="582" customFormat="1" ht="18" customHeight="1" x14ac:dyDescent="0.25">
      <c r="A74" s="563" t="s">
        <v>2115</v>
      </c>
      <c r="B74" s="564">
        <v>378165</v>
      </c>
      <c r="C74" s="559" t="s">
        <v>1980</v>
      </c>
      <c r="D74" s="559"/>
      <c r="E74" s="575">
        <v>11</v>
      </c>
      <c r="F74" s="188"/>
      <c r="G74" s="188"/>
      <c r="H74" s="188"/>
      <c r="I74" s="188"/>
      <c r="J74" s="188"/>
      <c r="K74" s="188"/>
      <c r="L74" s="188"/>
      <c r="M74" s="188"/>
      <c r="N74" s="188"/>
      <c r="O74" s="188"/>
      <c r="P74" s="188"/>
      <c r="Q74" s="188"/>
      <c r="R74" s="188"/>
      <c r="S74" s="188"/>
      <c r="T74" s="188"/>
      <c r="U74" s="188"/>
      <c r="V74" s="188"/>
      <c r="W74" s="188"/>
      <c r="X74" s="188"/>
      <c r="Y74" s="188"/>
      <c r="Z74" s="188"/>
      <c r="AA74" s="188"/>
      <c r="AB74" s="188"/>
      <c r="AC74" s="188"/>
      <c r="AD74" s="188"/>
      <c r="AE74" s="188"/>
      <c r="AF74" s="188"/>
      <c r="AG74" s="188"/>
      <c r="AH74" s="188"/>
      <c r="AI74" s="188"/>
    </row>
    <row r="75" spans="1:35" s="582" customFormat="1" ht="18" customHeight="1" x14ac:dyDescent="0.25">
      <c r="A75" s="563" t="s">
        <v>2116</v>
      </c>
      <c r="B75" s="564">
        <v>512516</v>
      </c>
      <c r="C75" s="559" t="s">
        <v>1981</v>
      </c>
      <c r="D75" s="559"/>
      <c r="E75" s="575">
        <v>557</v>
      </c>
      <c r="F75" s="188"/>
      <c r="G75" s="188"/>
      <c r="H75" s="188"/>
      <c r="I75" s="188"/>
      <c r="J75" s="188"/>
      <c r="K75" s="188"/>
      <c r="L75" s="188"/>
      <c r="M75" s="188"/>
      <c r="N75" s="188"/>
      <c r="O75" s="188"/>
      <c r="P75" s="188"/>
      <c r="Q75" s="188"/>
      <c r="R75" s="188"/>
      <c r="S75" s="188"/>
      <c r="T75" s="188"/>
      <c r="U75" s="188"/>
      <c r="V75" s="188"/>
      <c r="W75" s="188"/>
      <c r="X75" s="188"/>
      <c r="Y75" s="188"/>
      <c r="Z75" s="188"/>
      <c r="AA75" s="188"/>
      <c r="AB75" s="188"/>
      <c r="AC75" s="188"/>
      <c r="AD75" s="188"/>
      <c r="AE75" s="188"/>
      <c r="AF75" s="188"/>
      <c r="AG75" s="188"/>
      <c r="AH75" s="188"/>
      <c r="AI75" s="188"/>
    </row>
    <row r="76" spans="1:35" s="582" customFormat="1" ht="18" customHeight="1" x14ac:dyDescent="0.25">
      <c r="A76" s="563" t="s">
        <v>2117</v>
      </c>
      <c r="B76" s="564">
        <v>163702076</v>
      </c>
      <c r="C76" s="559" t="s">
        <v>1955</v>
      </c>
      <c r="D76" s="559" t="s">
        <v>1954</v>
      </c>
      <c r="E76" s="575">
        <v>297</v>
      </c>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row>
    <row r="77" spans="1:35" s="582" customFormat="1" ht="18" customHeight="1" x14ac:dyDescent="0.25">
      <c r="A77" s="563" t="s">
        <v>2118</v>
      </c>
      <c r="B77" s="564">
        <v>163702087</v>
      </c>
      <c r="C77" s="559" t="s">
        <v>1983</v>
      </c>
      <c r="D77" s="559" t="s">
        <v>1984</v>
      </c>
      <c r="E77" s="575">
        <v>297</v>
      </c>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row>
    <row r="78" spans="1:35" s="582" customFormat="1" ht="18" customHeight="1" x14ac:dyDescent="0.25">
      <c r="A78" s="563" t="s">
        <v>2119</v>
      </c>
      <c r="B78" s="564">
        <v>163702054</v>
      </c>
      <c r="C78" s="559" t="s">
        <v>1987</v>
      </c>
      <c r="D78" s="559" t="s">
        <v>1985</v>
      </c>
      <c r="E78" s="575">
        <v>59</v>
      </c>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8"/>
      <c r="AI78" s="188"/>
    </row>
    <row r="79" spans="1:35" s="582" customFormat="1" ht="18" customHeight="1" x14ac:dyDescent="0.25">
      <c r="A79" s="563" t="s">
        <v>2120</v>
      </c>
      <c r="B79" s="564">
        <v>163702065</v>
      </c>
      <c r="C79" s="559" t="s">
        <v>1988</v>
      </c>
      <c r="D79" s="559" t="s">
        <v>1986</v>
      </c>
      <c r="E79" s="575">
        <v>59</v>
      </c>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row>
    <row r="80" spans="1:35" s="582" customFormat="1" ht="18" customHeight="1" x14ac:dyDescent="0.25">
      <c r="A80" s="563" t="s">
        <v>2121</v>
      </c>
      <c r="B80" s="564">
        <v>28523866</v>
      </c>
      <c r="C80" s="559" t="s">
        <v>1989</v>
      </c>
      <c r="D80" s="559" t="s">
        <v>1990</v>
      </c>
      <c r="E80" s="575">
        <v>345</v>
      </c>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8"/>
      <c r="AI80" s="188"/>
    </row>
    <row r="81" spans="1:35" s="582" customFormat="1" ht="18" customHeight="1" x14ac:dyDescent="0.25">
      <c r="A81" s="563" t="s">
        <v>2122</v>
      </c>
      <c r="B81" s="564">
        <v>13171181</v>
      </c>
      <c r="C81" s="559" t="s">
        <v>1991</v>
      </c>
      <c r="D81" s="559"/>
      <c r="E81" s="575">
        <v>27</v>
      </c>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8"/>
      <c r="AI81" s="188"/>
    </row>
    <row r="82" spans="1:35" s="582" customFormat="1" ht="18" customHeight="1" x14ac:dyDescent="0.25">
      <c r="A82" s="563" t="s">
        <v>2123</v>
      </c>
      <c r="B82" s="564">
        <v>26103082</v>
      </c>
      <c r="C82" s="559" t="s">
        <v>1992</v>
      </c>
      <c r="D82" s="559"/>
      <c r="E82" s="575">
        <v>380</v>
      </c>
      <c r="F82" s="188"/>
      <c r="G82" s="188"/>
      <c r="H82" s="188"/>
      <c r="I82" s="188"/>
      <c r="J82" s="188"/>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8"/>
      <c r="AI82" s="188"/>
    </row>
    <row r="83" spans="1:35" s="582" customFormat="1" ht="18" customHeight="1" thickBot="1" x14ac:dyDescent="0.3">
      <c r="A83" s="570" t="s">
        <v>2124</v>
      </c>
      <c r="B83" s="571">
        <v>22052842</v>
      </c>
      <c r="C83" s="572" t="s">
        <v>1993</v>
      </c>
      <c r="D83" s="572"/>
      <c r="E83" s="573">
        <v>343</v>
      </c>
      <c r="F83" s="188"/>
      <c r="G83" s="188"/>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row>
    <row r="84" spans="1:35" s="18" customFormat="1" ht="18" customHeight="1" x14ac:dyDescent="0.25"/>
    <row r="85" spans="1:35" s="18" customFormat="1" ht="18" customHeight="1" x14ac:dyDescent="0.25"/>
    <row r="86" spans="1:35" s="18" customFormat="1" ht="18" customHeight="1" x14ac:dyDescent="0.25"/>
    <row r="87" spans="1:35" s="18" customFormat="1" ht="18" customHeight="1" x14ac:dyDescent="0.25"/>
    <row r="88" spans="1:35" s="18" customFormat="1" ht="18" customHeight="1" x14ac:dyDescent="0.25"/>
    <row r="89" spans="1:35" s="18" customFormat="1" ht="18" customHeight="1" x14ac:dyDescent="0.25"/>
    <row r="90" spans="1:35" s="18" customFormat="1" ht="18" customHeight="1" x14ac:dyDescent="0.25"/>
    <row r="91" spans="1:35" s="18" customFormat="1" ht="18" customHeight="1" x14ac:dyDescent="0.25"/>
    <row r="92" spans="1:35" s="18" customFormat="1" ht="18" customHeight="1" x14ac:dyDescent="0.25"/>
    <row r="93" spans="1:35" s="18" customFormat="1" ht="18" customHeight="1" x14ac:dyDescent="0.25"/>
    <row r="94" spans="1:35" s="18" customFormat="1" ht="18" customHeight="1" x14ac:dyDescent="0.25"/>
    <row r="95" spans="1:35" s="18" customFormat="1" ht="18" customHeight="1" x14ac:dyDescent="0.25"/>
    <row r="96" spans="1:35" s="18" customFormat="1" ht="18" customHeight="1" x14ac:dyDescent="0.25"/>
    <row r="97" s="18" customFormat="1" ht="18" customHeight="1" x14ac:dyDescent="0.25"/>
    <row r="98" s="18" customFormat="1" ht="18" customHeight="1" x14ac:dyDescent="0.25"/>
    <row r="99" s="18" customFormat="1" ht="18" customHeight="1" x14ac:dyDescent="0.25"/>
    <row r="100" s="18" customFormat="1" ht="18" customHeight="1" x14ac:dyDescent="0.25"/>
    <row r="101" s="18" customFormat="1" ht="18" customHeight="1" x14ac:dyDescent="0.25"/>
    <row r="102" s="18" customFormat="1" ht="18" customHeight="1" x14ac:dyDescent="0.25"/>
    <row r="103" s="18" customFormat="1" ht="18" customHeight="1" x14ac:dyDescent="0.25"/>
    <row r="104" s="18" customFormat="1" ht="18" customHeight="1" x14ac:dyDescent="0.25"/>
    <row r="105" s="18" customFormat="1" ht="18" customHeight="1" x14ac:dyDescent="0.25"/>
    <row r="106" s="18" customFormat="1" ht="18" customHeight="1" x14ac:dyDescent="0.25"/>
    <row r="107" s="18" customFormat="1" ht="18" customHeight="1" x14ac:dyDescent="0.25"/>
    <row r="108" s="18" customFormat="1" ht="18" customHeight="1" x14ac:dyDescent="0.25"/>
    <row r="109" s="18" customFormat="1" ht="18" customHeight="1" x14ac:dyDescent="0.25"/>
    <row r="110" s="18" customFormat="1" ht="18" customHeight="1" x14ac:dyDescent="0.25"/>
    <row r="111" s="18" customFormat="1" ht="18" customHeight="1" x14ac:dyDescent="0.25"/>
    <row r="112" s="18" customFormat="1" ht="18" customHeight="1" x14ac:dyDescent="0.25"/>
    <row r="113" s="18" customFormat="1" ht="18" customHeight="1" x14ac:dyDescent="0.25"/>
    <row r="114" s="18" customFormat="1" ht="18" customHeight="1" x14ac:dyDescent="0.25"/>
    <row r="115" s="18" customFormat="1" ht="18" customHeight="1" x14ac:dyDescent="0.25"/>
    <row r="116" s="18" customFormat="1" ht="18" customHeight="1" x14ac:dyDescent="0.25"/>
    <row r="117" s="18" customFormat="1" ht="18" customHeight="1" x14ac:dyDescent="0.25"/>
    <row r="118" s="18" customFormat="1" ht="18" customHeight="1" x14ac:dyDescent="0.25"/>
    <row r="119" s="18" customFormat="1" ht="18" customHeight="1" x14ac:dyDescent="0.25"/>
  </sheetData>
  <sheetProtection password="CCBE" sheet="1" objects="1" scenarios="1"/>
  <mergeCells count="6">
    <mergeCell ref="A1:E1"/>
    <mergeCell ref="A27:E27"/>
    <mergeCell ref="A15:E15"/>
    <mergeCell ref="G2:J8"/>
    <mergeCell ref="A49:E49"/>
    <mergeCell ref="G10:J17"/>
  </mergeCells>
  <pageMargins left="0.7" right="0.7" top="0.75" bottom="0.75" header="0.3" footer="0.3"/>
  <pageSetup scale="6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3">
    <tabColor rgb="FF00B050"/>
  </sheetPr>
  <dimension ref="B1:H375"/>
  <sheetViews>
    <sheetView zoomScaleNormal="100" workbookViewId="0">
      <pane ySplit="3" topLeftCell="A4" activePane="bottomLeft" state="frozen"/>
      <selection pane="bottomLeft" activeCell="A4" sqref="A4"/>
    </sheetView>
  </sheetViews>
  <sheetFormatPr defaultRowHeight="12.75" x14ac:dyDescent="0.2"/>
  <cols>
    <col min="1" max="1" width="2.7109375" style="2" customWidth="1"/>
    <col min="2" max="2" width="40.7109375" style="2" customWidth="1"/>
    <col min="3" max="3" width="22.7109375" style="3" customWidth="1"/>
    <col min="4" max="4" width="20.7109375" style="4" customWidth="1"/>
    <col min="5" max="5" width="2.7109375" style="2" customWidth="1"/>
    <col min="6" max="6" width="22.7109375" style="2" customWidth="1"/>
    <col min="7" max="7" width="40.7109375" style="151" customWidth="1"/>
    <col min="8" max="8" width="20.7109375" style="2" customWidth="1"/>
    <col min="9" max="9" width="2.7109375" style="2" customWidth="1"/>
    <col min="10" max="16384" width="9.140625" style="2"/>
  </cols>
  <sheetData>
    <row r="1" spans="2:8" ht="26.25" customHeight="1" x14ac:dyDescent="0.2">
      <c r="B1" s="1631" t="s">
        <v>255</v>
      </c>
      <c r="C1" s="1631"/>
      <c r="D1" s="1631"/>
      <c r="E1" s="1631"/>
      <c r="F1" s="1631"/>
      <c r="G1" s="1631"/>
      <c r="H1" s="1631"/>
    </row>
    <row r="2" spans="2:8" ht="26.25" customHeight="1" thickBot="1" x14ac:dyDescent="0.25">
      <c r="B2" s="1630" t="s">
        <v>1630</v>
      </c>
      <c r="C2" s="1630"/>
      <c r="D2" s="1630"/>
      <c r="F2" s="1630" t="s">
        <v>1631</v>
      </c>
      <c r="G2" s="1630"/>
      <c r="H2" s="1630"/>
    </row>
    <row r="3" spans="2:8" s="5" customFormat="1" ht="16.5" thickBot="1" x14ac:dyDescent="0.3">
      <c r="B3" s="6" t="s">
        <v>70</v>
      </c>
      <c r="C3" s="7" t="s">
        <v>69</v>
      </c>
      <c r="D3" s="8" t="s">
        <v>71</v>
      </c>
      <c r="F3" s="148" t="s">
        <v>69</v>
      </c>
      <c r="G3" s="152" t="s">
        <v>70</v>
      </c>
      <c r="H3" s="8" t="s">
        <v>71</v>
      </c>
    </row>
    <row r="4" spans="2:8" ht="15" x14ac:dyDescent="0.2">
      <c r="B4" s="9" t="s">
        <v>100</v>
      </c>
      <c r="C4" s="10">
        <v>71556</v>
      </c>
      <c r="D4" s="11" t="s">
        <v>73</v>
      </c>
      <c r="F4" s="149">
        <v>171</v>
      </c>
      <c r="G4" s="153" t="s">
        <v>72</v>
      </c>
      <c r="H4" s="11" t="s">
        <v>73</v>
      </c>
    </row>
    <row r="5" spans="2:8" ht="15" x14ac:dyDescent="0.2">
      <c r="B5" s="12" t="s">
        <v>128</v>
      </c>
      <c r="C5" s="13">
        <v>79345</v>
      </c>
      <c r="D5" s="14" t="s">
        <v>75</v>
      </c>
      <c r="F5" s="150">
        <v>50000</v>
      </c>
      <c r="G5" s="154" t="s">
        <v>74</v>
      </c>
      <c r="H5" s="14" t="s">
        <v>75</v>
      </c>
    </row>
    <row r="6" spans="2:8" ht="15" x14ac:dyDescent="0.2">
      <c r="B6" s="9" t="s">
        <v>123</v>
      </c>
      <c r="C6" s="10">
        <v>79005</v>
      </c>
      <c r="D6" s="11" t="s">
        <v>75</v>
      </c>
      <c r="F6" s="149">
        <v>51285</v>
      </c>
      <c r="G6" s="153" t="s">
        <v>76</v>
      </c>
      <c r="H6" s="11" t="s">
        <v>75</v>
      </c>
    </row>
    <row r="7" spans="2:8" ht="15" x14ac:dyDescent="0.2">
      <c r="B7" s="12" t="s">
        <v>113</v>
      </c>
      <c r="C7" s="13">
        <v>75343</v>
      </c>
      <c r="D7" s="14" t="s">
        <v>75</v>
      </c>
      <c r="F7" s="150">
        <v>51796</v>
      </c>
      <c r="G7" s="154" t="s">
        <v>77</v>
      </c>
      <c r="H7" s="14" t="s">
        <v>73</v>
      </c>
    </row>
    <row r="8" spans="2:8" ht="15" x14ac:dyDescent="0.2">
      <c r="B8" s="9" t="s">
        <v>114</v>
      </c>
      <c r="C8" s="10">
        <v>75354</v>
      </c>
      <c r="D8" s="11" t="s">
        <v>75</v>
      </c>
      <c r="F8" s="149">
        <v>53963</v>
      </c>
      <c r="G8" s="153" t="s">
        <v>78</v>
      </c>
      <c r="H8" s="11" t="s">
        <v>75</v>
      </c>
    </row>
    <row r="9" spans="2:8" ht="15" x14ac:dyDescent="0.2">
      <c r="B9" s="12" t="s">
        <v>82</v>
      </c>
      <c r="C9" s="13">
        <v>57147</v>
      </c>
      <c r="D9" s="14" t="s">
        <v>75</v>
      </c>
      <c r="F9" s="150">
        <v>56235</v>
      </c>
      <c r="G9" s="154" t="s">
        <v>79</v>
      </c>
      <c r="H9" s="14" t="s">
        <v>75</v>
      </c>
    </row>
    <row r="10" spans="2:8" ht="15" x14ac:dyDescent="0.2">
      <c r="B10" s="9" t="s">
        <v>196</v>
      </c>
      <c r="C10" s="10">
        <v>120821</v>
      </c>
      <c r="D10" s="11" t="s">
        <v>75</v>
      </c>
      <c r="F10" s="149">
        <v>56382</v>
      </c>
      <c r="G10" s="153" t="s">
        <v>80</v>
      </c>
      <c r="H10" s="11" t="s">
        <v>75</v>
      </c>
    </row>
    <row r="11" spans="2:8" ht="15" x14ac:dyDescent="0.2">
      <c r="B11" s="12" t="s">
        <v>153</v>
      </c>
      <c r="C11" s="13">
        <v>96128</v>
      </c>
      <c r="D11" s="14" t="s">
        <v>75</v>
      </c>
      <c r="F11" s="150">
        <v>57125</v>
      </c>
      <c r="G11" s="154" t="s">
        <v>81</v>
      </c>
      <c r="H11" s="14" t="s">
        <v>73</v>
      </c>
    </row>
    <row r="12" spans="2:8" ht="15" x14ac:dyDescent="0.2">
      <c r="B12" s="9" t="s">
        <v>122</v>
      </c>
      <c r="C12" s="10">
        <v>78875</v>
      </c>
      <c r="D12" s="11" t="s">
        <v>75</v>
      </c>
      <c r="F12" s="149">
        <v>57147</v>
      </c>
      <c r="G12" s="153" t="s">
        <v>82</v>
      </c>
      <c r="H12" s="11" t="s">
        <v>75</v>
      </c>
    </row>
    <row r="13" spans="2:8" ht="15" x14ac:dyDescent="0.2">
      <c r="B13" s="12" t="s">
        <v>200</v>
      </c>
      <c r="C13" s="13">
        <v>122667</v>
      </c>
      <c r="D13" s="14" t="s">
        <v>75</v>
      </c>
      <c r="F13" s="150">
        <v>57578</v>
      </c>
      <c r="G13" s="154" t="s">
        <v>83</v>
      </c>
      <c r="H13" s="14" t="s">
        <v>75</v>
      </c>
    </row>
    <row r="14" spans="2:8" ht="15" x14ac:dyDescent="0.2">
      <c r="B14" s="9" t="s">
        <v>171</v>
      </c>
      <c r="C14" s="10">
        <v>106887</v>
      </c>
      <c r="D14" s="11" t="s">
        <v>75</v>
      </c>
      <c r="F14" s="149">
        <v>57749</v>
      </c>
      <c r="G14" s="153" t="s">
        <v>84</v>
      </c>
      <c r="H14" s="11" t="s">
        <v>75</v>
      </c>
    </row>
    <row r="15" spans="2:8" ht="15" x14ac:dyDescent="0.2">
      <c r="B15" s="12" t="s">
        <v>116</v>
      </c>
      <c r="C15" s="13">
        <v>75558</v>
      </c>
      <c r="D15" s="14" t="s">
        <v>75</v>
      </c>
      <c r="F15" s="150">
        <v>58899</v>
      </c>
      <c r="G15" s="154" t="s">
        <v>85</v>
      </c>
      <c r="H15" s="14" t="s">
        <v>73</v>
      </c>
    </row>
    <row r="16" spans="2:8" ht="15" x14ac:dyDescent="0.2">
      <c r="B16" s="9" t="s">
        <v>174</v>
      </c>
      <c r="C16" s="10">
        <v>106990</v>
      </c>
      <c r="D16" s="11" t="s">
        <v>75</v>
      </c>
      <c r="F16" s="149">
        <v>59892</v>
      </c>
      <c r="G16" s="153" t="s">
        <v>86</v>
      </c>
      <c r="H16" s="11" t="s">
        <v>75</v>
      </c>
    </row>
    <row r="17" spans="2:8" ht="15" x14ac:dyDescent="0.2">
      <c r="B17" s="12" t="s">
        <v>219</v>
      </c>
      <c r="C17" s="13">
        <v>542756</v>
      </c>
      <c r="D17" s="14" t="s">
        <v>75</v>
      </c>
      <c r="F17" s="150">
        <v>60117</v>
      </c>
      <c r="G17" s="154" t="s">
        <v>87</v>
      </c>
      <c r="H17" s="14" t="s">
        <v>75</v>
      </c>
    </row>
    <row r="18" spans="2:8" ht="15" x14ac:dyDescent="0.2">
      <c r="B18" s="9" t="s">
        <v>227</v>
      </c>
      <c r="C18" s="10">
        <v>1120714</v>
      </c>
      <c r="D18" s="11" t="s">
        <v>73</v>
      </c>
      <c r="F18" s="149">
        <v>60344</v>
      </c>
      <c r="G18" s="153" t="s">
        <v>88</v>
      </c>
      <c r="H18" s="11" t="s">
        <v>75</v>
      </c>
    </row>
    <row r="19" spans="2:8" ht="15" x14ac:dyDescent="0.2">
      <c r="B19" s="12" t="s">
        <v>168</v>
      </c>
      <c r="C19" s="13">
        <v>106467</v>
      </c>
      <c r="D19" s="14" t="s">
        <v>75</v>
      </c>
      <c r="F19" s="150">
        <v>60355</v>
      </c>
      <c r="G19" s="154" t="s">
        <v>89</v>
      </c>
      <c r="H19" s="14" t="s">
        <v>75</v>
      </c>
    </row>
    <row r="20" spans="2:8" ht="15" x14ac:dyDescent="0.2">
      <c r="B20" s="9" t="s">
        <v>203</v>
      </c>
      <c r="C20" s="10">
        <v>123911</v>
      </c>
      <c r="D20" s="11" t="s">
        <v>75</v>
      </c>
      <c r="F20" s="149">
        <v>62533</v>
      </c>
      <c r="G20" s="153" t="s">
        <v>90</v>
      </c>
      <c r="H20" s="11" t="s">
        <v>75</v>
      </c>
    </row>
    <row r="21" spans="2:8" ht="15" x14ac:dyDescent="0.2">
      <c r="B21" s="12" t="s">
        <v>218</v>
      </c>
      <c r="C21" s="13">
        <v>540841</v>
      </c>
      <c r="D21" s="14" t="s">
        <v>75</v>
      </c>
      <c r="F21" s="150">
        <v>62737</v>
      </c>
      <c r="G21" s="154" t="s">
        <v>91</v>
      </c>
      <c r="H21" s="14" t="s">
        <v>75</v>
      </c>
    </row>
    <row r="22" spans="2:8" ht="15" x14ac:dyDescent="0.2">
      <c r="B22" s="9" t="s">
        <v>234</v>
      </c>
      <c r="C22" s="10">
        <v>1746016</v>
      </c>
      <c r="D22" s="11" t="s">
        <v>73</v>
      </c>
      <c r="F22" s="149">
        <v>62759</v>
      </c>
      <c r="G22" s="153" t="s">
        <v>92</v>
      </c>
      <c r="H22" s="11" t="s">
        <v>75</v>
      </c>
    </row>
    <row r="23" spans="2:8" ht="15" x14ac:dyDescent="0.2">
      <c r="B23" s="12" t="s">
        <v>151</v>
      </c>
      <c r="C23" s="13">
        <v>95954</v>
      </c>
      <c r="D23" s="14" t="s">
        <v>75</v>
      </c>
      <c r="F23" s="150">
        <v>63252</v>
      </c>
      <c r="G23" s="154" t="s">
        <v>93</v>
      </c>
      <c r="H23" s="14" t="s">
        <v>73</v>
      </c>
    </row>
    <row r="24" spans="2:8" ht="15" x14ac:dyDescent="0.2">
      <c r="B24" s="9" t="s">
        <v>137</v>
      </c>
      <c r="C24" s="10">
        <v>88062</v>
      </c>
      <c r="D24" s="11" t="s">
        <v>75</v>
      </c>
      <c r="F24" s="149">
        <v>64675</v>
      </c>
      <c r="G24" s="153" t="s">
        <v>94</v>
      </c>
      <c r="H24" s="11" t="s">
        <v>75</v>
      </c>
    </row>
    <row r="25" spans="2:8" ht="15" x14ac:dyDescent="0.2">
      <c r="B25" s="12" t="s">
        <v>146</v>
      </c>
      <c r="C25" s="13">
        <v>94757</v>
      </c>
      <c r="D25" s="14" t="s">
        <v>75</v>
      </c>
      <c r="F25" s="150">
        <v>67561</v>
      </c>
      <c r="G25" s="154" t="s">
        <v>95</v>
      </c>
      <c r="H25" s="14" t="s">
        <v>75</v>
      </c>
    </row>
    <row r="26" spans="2:8" ht="15" x14ac:dyDescent="0.2">
      <c r="B26" s="9" t="s">
        <v>76</v>
      </c>
      <c r="C26" s="10">
        <v>51285</v>
      </c>
      <c r="D26" s="11" t="s">
        <v>75</v>
      </c>
      <c r="F26" s="149">
        <v>67663</v>
      </c>
      <c r="G26" s="153" t="s">
        <v>96</v>
      </c>
      <c r="H26" s="11" t="s">
        <v>75</v>
      </c>
    </row>
    <row r="27" spans="2:8" ht="15" x14ac:dyDescent="0.2">
      <c r="B27" s="12" t="s">
        <v>197</v>
      </c>
      <c r="C27" s="13">
        <v>121142</v>
      </c>
      <c r="D27" s="14" t="s">
        <v>75</v>
      </c>
      <c r="F27" s="150">
        <v>67721</v>
      </c>
      <c r="G27" s="154" t="s">
        <v>97</v>
      </c>
      <c r="H27" s="14" t="s">
        <v>73</v>
      </c>
    </row>
    <row r="28" spans="2:8" ht="15" x14ac:dyDescent="0.2">
      <c r="B28" s="9" t="s">
        <v>150</v>
      </c>
      <c r="C28" s="10">
        <v>95807</v>
      </c>
      <c r="D28" s="11" t="s">
        <v>75</v>
      </c>
      <c r="F28" s="149">
        <v>68122</v>
      </c>
      <c r="G28" s="153" t="s">
        <v>98</v>
      </c>
      <c r="H28" s="11" t="s">
        <v>75</v>
      </c>
    </row>
    <row r="29" spans="2:8" ht="15" x14ac:dyDescent="0.2">
      <c r="B29" s="12" t="s">
        <v>221</v>
      </c>
      <c r="C29" s="13">
        <v>584849</v>
      </c>
      <c r="D29" s="14" t="s">
        <v>75</v>
      </c>
      <c r="F29" s="150">
        <v>71432</v>
      </c>
      <c r="G29" s="154" t="s">
        <v>99</v>
      </c>
      <c r="H29" s="14" t="s">
        <v>75</v>
      </c>
    </row>
    <row r="30" spans="2:8" ht="15" x14ac:dyDescent="0.2">
      <c r="B30" s="9" t="s">
        <v>78</v>
      </c>
      <c r="C30" s="10">
        <v>53963</v>
      </c>
      <c r="D30" s="11" t="s">
        <v>75</v>
      </c>
      <c r="F30" s="149">
        <v>71556</v>
      </c>
      <c r="G30" s="153" t="s">
        <v>100</v>
      </c>
      <c r="H30" s="11" t="s">
        <v>73</v>
      </c>
    </row>
    <row r="31" spans="2:8" ht="15" x14ac:dyDescent="0.2">
      <c r="B31" s="12" t="s">
        <v>216</v>
      </c>
      <c r="C31" s="13">
        <v>532274</v>
      </c>
      <c r="D31" s="14" t="s">
        <v>75</v>
      </c>
      <c r="F31" s="150">
        <v>72435</v>
      </c>
      <c r="G31" s="154" t="s">
        <v>101</v>
      </c>
      <c r="H31" s="14" t="s">
        <v>75</v>
      </c>
    </row>
    <row r="32" spans="2:8" ht="15" x14ac:dyDescent="0.2">
      <c r="B32" s="9" t="s">
        <v>130</v>
      </c>
      <c r="C32" s="10">
        <v>79469</v>
      </c>
      <c r="D32" s="11" t="s">
        <v>75</v>
      </c>
      <c r="F32" s="149">
        <v>74839</v>
      </c>
      <c r="G32" s="153" t="s">
        <v>102</v>
      </c>
      <c r="H32" s="11" t="s">
        <v>75</v>
      </c>
    </row>
    <row r="33" spans="2:8" ht="15" x14ac:dyDescent="0.2">
      <c r="B33" s="12" t="s">
        <v>141</v>
      </c>
      <c r="C33" s="13">
        <v>91941</v>
      </c>
      <c r="D33" s="14" t="s">
        <v>75</v>
      </c>
      <c r="F33" s="150">
        <v>74873</v>
      </c>
      <c r="G33" s="154" t="s">
        <v>103</v>
      </c>
      <c r="H33" s="14" t="s">
        <v>75</v>
      </c>
    </row>
    <row r="34" spans="2:8" ht="15" x14ac:dyDescent="0.2">
      <c r="B34" s="9" t="s">
        <v>193</v>
      </c>
      <c r="C34" s="10">
        <v>119904</v>
      </c>
      <c r="D34" s="11" t="s">
        <v>75</v>
      </c>
      <c r="F34" s="149">
        <v>74884</v>
      </c>
      <c r="G34" s="153" t="s">
        <v>104</v>
      </c>
      <c r="H34" s="11" t="s">
        <v>75</v>
      </c>
    </row>
    <row r="35" spans="2:8" ht="15" x14ac:dyDescent="0.2">
      <c r="B35" s="12" t="s">
        <v>194</v>
      </c>
      <c r="C35" s="13">
        <v>119937</v>
      </c>
      <c r="D35" s="14" t="s">
        <v>75</v>
      </c>
      <c r="F35" s="150">
        <v>75003</v>
      </c>
      <c r="G35" s="154" t="s">
        <v>105</v>
      </c>
      <c r="H35" s="14" t="s">
        <v>75</v>
      </c>
    </row>
    <row r="36" spans="2:8" ht="15" x14ac:dyDescent="0.2">
      <c r="B36" s="9" t="s">
        <v>163</v>
      </c>
      <c r="C36" s="10">
        <v>101144</v>
      </c>
      <c r="D36" s="11" t="s">
        <v>73</v>
      </c>
      <c r="F36" s="149">
        <v>75014</v>
      </c>
      <c r="G36" s="153" t="s">
        <v>106</v>
      </c>
      <c r="H36" s="11" t="s">
        <v>75</v>
      </c>
    </row>
    <row r="37" spans="2:8" ht="15" x14ac:dyDescent="0.2">
      <c r="B37" s="12" t="s">
        <v>165</v>
      </c>
      <c r="C37" s="13">
        <v>101779</v>
      </c>
      <c r="D37" s="14" t="s">
        <v>73</v>
      </c>
      <c r="F37" s="150">
        <v>75058</v>
      </c>
      <c r="G37" s="154" t="s">
        <v>107</v>
      </c>
      <c r="H37" s="14" t="s">
        <v>75</v>
      </c>
    </row>
    <row r="38" spans="2:8" ht="15" x14ac:dyDescent="0.2">
      <c r="B38" s="9" t="s">
        <v>217</v>
      </c>
      <c r="C38" s="10">
        <v>534521</v>
      </c>
      <c r="D38" s="11" t="s">
        <v>73</v>
      </c>
      <c r="F38" s="149">
        <v>75070</v>
      </c>
      <c r="G38" s="153" t="s">
        <v>108</v>
      </c>
      <c r="H38" s="11" t="s">
        <v>75</v>
      </c>
    </row>
    <row r="39" spans="2:8" ht="15" x14ac:dyDescent="0.2">
      <c r="B39" s="12" t="s">
        <v>143</v>
      </c>
      <c r="C39" s="13">
        <v>92671</v>
      </c>
      <c r="D39" s="14" t="s">
        <v>75</v>
      </c>
      <c r="F39" s="150">
        <v>75092</v>
      </c>
      <c r="G39" s="154" t="s">
        <v>109</v>
      </c>
      <c r="H39" s="14" t="s">
        <v>73</v>
      </c>
    </row>
    <row r="40" spans="2:8" ht="15" x14ac:dyDescent="0.2">
      <c r="B40" s="9" t="s">
        <v>145</v>
      </c>
      <c r="C40" s="10">
        <v>92933</v>
      </c>
      <c r="D40" s="11" t="s">
        <v>75</v>
      </c>
      <c r="F40" s="149">
        <v>75150</v>
      </c>
      <c r="G40" s="153" t="s">
        <v>110</v>
      </c>
      <c r="H40" s="11" t="s">
        <v>75</v>
      </c>
    </row>
    <row r="41" spans="2:8" ht="15" x14ac:dyDescent="0.2">
      <c r="B41" s="12" t="s">
        <v>159</v>
      </c>
      <c r="C41" s="13">
        <v>100027</v>
      </c>
      <c r="D41" s="14" t="s">
        <v>75</v>
      </c>
      <c r="F41" s="150">
        <v>75218</v>
      </c>
      <c r="G41" s="154" t="s">
        <v>111</v>
      </c>
      <c r="H41" s="14" t="s">
        <v>75</v>
      </c>
    </row>
    <row r="42" spans="2:8" ht="15" x14ac:dyDescent="0.2">
      <c r="B42" s="9" t="s">
        <v>108</v>
      </c>
      <c r="C42" s="10">
        <v>75070</v>
      </c>
      <c r="D42" s="11" t="s">
        <v>75</v>
      </c>
      <c r="F42" s="149">
        <v>75252</v>
      </c>
      <c r="G42" s="153" t="s">
        <v>112</v>
      </c>
      <c r="H42" s="11" t="s">
        <v>75</v>
      </c>
    </row>
    <row r="43" spans="2:8" ht="15" x14ac:dyDescent="0.2">
      <c r="B43" s="12" t="s">
        <v>89</v>
      </c>
      <c r="C43" s="13">
        <v>60355</v>
      </c>
      <c r="D43" s="14" t="s">
        <v>75</v>
      </c>
      <c r="F43" s="150">
        <v>75343</v>
      </c>
      <c r="G43" s="154" t="s">
        <v>113</v>
      </c>
      <c r="H43" s="14" t="s">
        <v>75</v>
      </c>
    </row>
    <row r="44" spans="2:8" ht="15" x14ac:dyDescent="0.2">
      <c r="B44" s="9" t="s">
        <v>107</v>
      </c>
      <c r="C44" s="10">
        <v>75058</v>
      </c>
      <c r="D44" s="11" t="s">
        <v>75</v>
      </c>
      <c r="F44" s="149">
        <v>75354</v>
      </c>
      <c r="G44" s="153" t="s">
        <v>114</v>
      </c>
      <c r="H44" s="11" t="s">
        <v>75</v>
      </c>
    </row>
    <row r="45" spans="2:8" ht="15" x14ac:dyDescent="0.2">
      <c r="B45" s="12" t="s">
        <v>157</v>
      </c>
      <c r="C45" s="13">
        <v>98862</v>
      </c>
      <c r="D45" s="14" t="s">
        <v>75</v>
      </c>
      <c r="F45" s="150">
        <v>75445</v>
      </c>
      <c r="G45" s="154" t="s">
        <v>115</v>
      </c>
      <c r="H45" s="14" t="s">
        <v>75</v>
      </c>
    </row>
    <row r="46" spans="2:8" ht="15" x14ac:dyDescent="0.2">
      <c r="B46" s="9" t="s">
        <v>175</v>
      </c>
      <c r="C46" s="10">
        <v>107028</v>
      </c>
      <c r="D46" s="11" t="s">
        <v>75</v>
      </c>
      <c r="F46" s="149">
        <v>75558</v>
      </c>
      <c r="G46" s="153" t="s">
        <v>116</v>
      </c>
      <c r="H46" s="11" t="s">
        <v>75</v>
      </c>
    </row>
    <row r="47" spans="2:8" ht="15" x14ac:dyDescent="0.2">
      <c r="B47" s="12" t="s">
        <v>125</v>
      </c>
      <c r="C47" s="13">
        <v>79061</v>
      </c>
      <c r="D47" s="14" t="s">
        <v>75</v>
      </c>
      <c r="F47" s="150">
        <v>75569</v>
      </c>
      <c r="G47" s="154" t="s">
        <v>117</v>
      </c>
      <c r="H47" s="14" t="s">
        <v>75</v>
      </c>
    </row>
    <row r="48" spans="2:8" ht="15" x14ac:dyDescent="0.2">
      <c r="B48" s="9" t="s">
        <v>126</v>
      </c>
      <c r="C48" s="10">
        <v>79107</v>
      </c>
      <c r="D48" s="11" t="s">
        <v>75</v>
      </c>
      <c r="F48" s="149">
        <v>76448</v>
      </c>
      <c r="G48" s="153" t="s">
        <v>118</v>
      </c>
      <c r="H48" s="11" t="s">
        <v>75</v>
      </c>
    </row>
    <row r="49" spans="2:8" ht="15" x14ac:dyDescent="0.2">
      <c r="B49" s="12" t="s">
        <v>178</v>
      </c>
      <c r="C49" s="13">
        <v>107131</v>
      </c>
      <c r="D49" s="14" t="s">
        <v>75</v>
      </c>
      <c r="F49" s="150">
        <v>77474</v>
      </c>
      <c r="G49" s="154" t="s">
        <v>119</v>
      </c>
      <c r="H49" s="14" t="s">
        <v>75</v>
      </c>
    </row>
    <row r="50" spans="2:8" ht="15" x14ac:dyDescent="0.2">
      <c r="B50" s="9" t="s">
        <v>176</v>
      </c>
      <c r="C50" s="10">
        <v>107051</v>
      </c>
      <c r="D50" s="11" t="s">
        <v>75</v>
      </c>
      <c r="F50" s="149">
        <v>77781</v>
      </c>
      <c r="G50" s="153" t="s">
        <v>120</v>
      </c>
      <c r="H50" s="11" t="s">
        <v>75</v>
      </c>
    </row>
    <row r="51" spans="2:8" ht="15" x14ac:dyDescent="0.2">
      <c r="B51" s="12" t="s">
        <v>90</v>
      </c>
      <c r="C51" s="13">
        <v>62533</v>
      </c>
      <c r="D51" s="14" t="s">
        <v>75</v>
      </c>
      <c r="F51" s="150">
        <v>78591</v>
      </c>
      <c r="G51" s="154" t="s">
        <v>121</v>
      </c>
      <c r="H51" s="14" t="s">
        <v>75</v>
      </c>
    </row>
    <row r="52" spans="2:8" ht="15" x14ac:dyDescent="0.2">
      <c r="B52" s="9" t="s">
        <v>240</v>
      </c>
      <c r="C52" s="10">
        <v>7440360</v>
      </c>
      <c r="D52" s="11" t="s">
        <v>73</v>
      </c>
      <c r="F52" s="149">
        <v>78875</v>
      </c>
      <c r="G52" s="153" t="s">
        <v>122</v>
      </c>
      <c r="H52" s="11" t="s">
        <v>75</v>
      </c>
    </row>
    <row r="53" spans="2:8" ht="15" x14ac:dyDescent="0.2">
      <c r="B53" s="12" t="s">
        <v>241</v>
      </c>
      <c r="C53" s="13">
        <v>7440382</v>
      </c>
      <c r="D53" s="14" t="s">
        <v>73</v>
      </c>
      <c r="F53" s="150">
        <v>79005</v>
      </c>
      <c r="G53" s="154" t="s">
        <v>123</v>
      </c>
      <c r="H53" s="14" t="s">
        <v>75</v>
      </c>
    </row>
    <row r="54" spans="2:8" ht="15" x14ac:dyDescent="0.2">
      <c r="B54" s="9" t="s">
        <v>230</v>
      </c>
      <c r="C54" s="10">
        <v>1332214</v>
      </c>
      <c r="D54" s="11" t="s">
        <v>73</v>
      </c>
      <c r="F54" s="149">
        <v>79016</v>
      </c>
      <c r="G54" s="153" t="s">
        <v>124</v>
      </c>
      <c r="H54" s="11" t="s">
        <v>75</v>
      </c>
    </row>
    <row r="55" spans="2:8" ht="15" x14ac:dyDescent="0.2">
      <c r="B55" s="12" t="s">
        <v>99</v>
      </c>
      <c r="C55" s="13">
        <v>71432</v>
      </c>
      <c r="D55" s="14" t="s">
        <v>75</v>
      </c>
      <c r="F55" s="150">
        <v>79061</v>
      </c>
      <c r="G55" s="154" t="s">
        <v>125</v>
      </c>
      <c r="H55" s="14" t="s">
        <v>75</v>
      </c>
    </row>
    <row r="56" spans="2:8" ht="15" x14ac:dyDescent="0.2">
      <c r="B56" s="9" t="s">
        <v>144</v>
      </c>
      <c r="C56" s="10">
        <v>92875</v>
      </c>
      <c r="D56" s="11" t="s">
        <v>75</v>
      </c>
      <c r="F56" s="149">
        <v>79107</v>
      </c>
      <c r="G56" s="153" t="s">
        <v>126</v>
      </c>
      <c r="H56" s="11" t="s">
        <v>75</v>
      </c>
    </row>
    <row r="57" spans="2:8" ht="15" x14ac:dyDescent="0.2">
      <c r="B57" s="12" t="s">
        <v>155</v>
      </c>
      <c r="C57" s="13">
        <v>98077</v>
      </c>
      <c r="D57" s="14" t="s">
        <v>75</v>
      </c>
      <c r="F57" s="150">
        <v>79118</v>
      </c>
      <c r="G57" s="154" t="s">
        <v>127</v>
      </c>
      <c r="H57" s="14" t="s">
        <v>75</v>
      </c>
    </row>
    <row r="58" spans="2:8" ht="15" x14ac:dyDescent="0.2">
      <c r="B58" s="9" t="s">
        <v>162</v>
      </c>
      <c r="C58" s="10">
        <v>100447</v>
      </c>
      <c r="D58" s="11" t="s">
        <v>75</v>
      </c>
      <c r="F58" s="149">
        <v>79345</v>
      </c>
      <c r="G58" s="153" t="s">
        <v>128</v>
      </c>
      <c r="H58" s="11" t="s">
        <v>75</v>
      </c>
    </row>
    <row r="59" spans="2:8" ht="15" x14ac:dyDescent="0.2">
      <c r="B59" s="12" t="s">
        <v>242</v>
      </c>
      <c r="C59" s="13">
        <v>7440417</v>
      </c>
      <c r="D59" s="14" t="s">
        <v>73</v>
      </c>
      <c r="F59" s="150">
        <v>79447</v>
      </c>
      <c r="G59" s="154" t="s">
        <v>129</v>
      </c>
      <c r="H59" s="14" t="s">
        <v>75</v>
      </c>
    </row>
    <row r="60" spans="2:8" ht="15" x14ac:dyDescent="0.2">
      <c r="B60" s="9" t="s">
        <v>83</v>
      </c>
      <c r="C60" s="10">
        <v>57578</v>
      </c>
      <c r="D60" s="11" t="s">
        <v>75</v>
      </c>
      <c r="F60" s="149">
        <v>79469</v>
      </c>
      <c r="G60" s="153" t="s">
        <v>130</v>
      </c>
      <c r="H60" s="11" t="s">
        <v>75</v>
      </c>
    </row>
    <row r="61" spans="2:8" ht="15" x14ac:dyDescent="0.2">
      <c r="B61" s="12" t="s">
        <v>142</v>
      </c>
      <c r="C61" s="13">
        <v>92524</v>
      </c>
      <c r="D61" s="14" t="s">
        <v>75</v>
      </c>
      <c r="F61" s="150">
        <v>80626</v>
      </c>
      <c r="G61" s="154" t="s">
        <v>131</v>
      </c>
      <c r="H61" s="14" t="s">
        <v>75</v>
      </c>
    </row>
    <row r="62" spans="2:8" ht="15" x14ac:dyDescent="0.2">
      <c r="B62" s="9" t="s">
        <v>220</v>
      </c>
      <c r="C62" s="10">
        <v>542881</v>
      </c>
      <c r="D62" s="11" t="s">
        <v>75</v>
      </c>
      <c r="F62" s="149">
        <v>82688</v>
      </c>
      <c r="G62" s="153" t="s">
        <v>132</v>
      </c>
      <c r="H62" s="11" t="s">
        <v>75</v>
      </c>
    </row>
    <row r="63" spans="2:8" ht="15" x14ac:dyDescent="0.2">
      <c r="B63" s="12" t="s">
        <v>112</v>
      </c>
      <c r="C63" s="13">
        <v>75252</v>
      </c>
      <c r="D63" s="14" t="s">
        <v>75</v>
      </c>
      <c r="F63" s="150">
        <v>84742</v>
      </c>
      <c r="G63" s="154" t="s">
        <v>133</v>
      </c>
      <c r="H63" s="14" t="s">
        <v>75</v>
      </c>
    </row>
    <row r="64" spans="2:8" ht="15" x14ac:dyDescent="0.2">
      <c r="B64" s="9" t="s">
        <v>243</v>
      </c>
      <c r="C64" s="10">
        <v>7440439</v>
      </c>
      <c r="D64" s="11" t="s">
        <v>73</v>
      </c>
      <c r="F64" s="149">
        <v>85449</v>
      </c>
      <c r="G64" s="153" t="s">
        <v>134</v>
      </c>
      <c r="H64" s="11" t="s">
        <v>73</v>
      </c>
    </row>
    <row r="65" spans="2:8" ht="15" x14ac:dyDescent="0.2">
      <c r="B65" s="12" t="s">
        <v>211</v>
      </c>
      <c r="C65" s="13">
        <v>156627</v>
      </c>
      <c r="D65" s="14" t="s">
        <v>73</v>
      </c>
      <c r="F65" s="150">
        <v>87683</v>
      </c>
      <c r="G65" s="154" t="s">
        <v>135</v>
      </c>
      <c r="H65" s="14" t="s">
        <v>75</v>
      </c>
    </row>
    <row r="66" spans="2:8" ht="15" x14ac:dyDescent="0.2">
      <c r="B66" s="9" t="s">
        <v>207</v>
      </c>
      <c r="C66" s="10">
        <v>133062</v>
      </c>
      <c r="D66" s="11" t="s">
        <v>73</v>
      </c>
      <c r="F66" s="149">
        <v>87865</v>
      </c>
      <c r="G66" s="153" t="s">
        <v>136</v>
      </c>
      <c r="H66" s="11" t="s">
        <v>75</v>
      </c>
    </row>
    <row r="67" spans="2:8" ht="15" x14ac:dyDescent="0.2">
      <c r="B67" s="12" t="s">
        <v>93</v>
      </c>
      <c r="C67" s="13">
        <v>63252</v>
      </c>
      <c r="D67" s="14" t="s">
        <v>73</v>
      </c>
      <c r="F67" s="150">
        <v>88062</v>
      </c>
      <c r="G67" s="154" t="s">
        <v>137</v>
      </c>
      <c r="H67" s="14" t="s">
        <v>75</v>
      </c>
    </row>
    <row r="68" spans="2:8" ht="15" x14ac:dyDescent="0.2">
      <c r="B68" s="9" t="s">
        <v>110</v>
      </c>
      <c r="C68" s="10">
        <v>75150</v>
      </c>
      <c r="D68" s="11" t="s">
        <v>75</v>
      </c>
      <c r="F68" s="149">
        <v>90040</v>
      </c>
      <c r="G68" s="153" t="s">
        <v>138</v>
      </c>
      <c r="H68" s="11" t="s">
        <v>75</v>
      </c>
    </row>
    <row r="69" spans="2:8" ht="15" x14ac:dyDescent="0.2">
      <c r="B69" s="12" t="s">
        <v>79</v>
      </c>
      <c r="C69" s="13">
        <v>56235</v>
      </c>
      <c r="D69" s="14" t="s">
        <v>75</v>
      </c>
      <c r="F69" s="150">
        <v>91203</v>
      </c>
      <c r="G69" s="154" t="s">
        <v>139</v>
      </c>
      <c r="H69" s="14" t="s">
        <v>75</v>
      </c>
    </row>
    <row r="70" spans="2:8" ht="15" x14ac:dyDescent="0.2">
      <c r="B70" s="9" t="s">
        <v>214</v>
      </c>
      <c r="C70" s="10">
        <v>463581</v>
      </c>
      <c r="D70" s="11" t="s">
        <v>75</v>
      </c>
      <c r="F70" s="149">
        <v>91225</v>
      </c>
      <c r="G70" s="153" t="s">
        <v>140</v>
      </c>
      <c r="H70" s="11" t="s">
        <v>75</v>
      </c>
    </row>
    <row r="71" spans="2:8" ht="15" x14ac:dyDescent="0.2">
      <c r="B71" s="12" t="s">
        <v>195</v>
      </c>
      <c r="C71" s="13">
        <v>120809</v>
      </c>
      <c r="D71" s="14" t="s">
        <v>75</v>
      </c>
      <c r="F71" s="150">
        <v>91941</v>
      </c>
      <c r="G71" s="154" t="s">
        <v>141</v>
      </c>
      <c r="H71" s="14" t="s">
        <v>75</v>
      </c>
    </row>
    <row r="72" spans="2:8" ht="15" x14ac:dyDescent="0.2">
      <c r="B72" s="9" t="s">
        <v>208</v>
      </c>
      <c r="C72" s="10">
        <v>133904</v>
      </c>
      <c r="D72" s="11" t="s">
        <v>73</v>
      </c>
      <c r="F72" s="149">
        <v>92524</v>
      </c>
      <c r="G72" s="153" t="s">
        <v>142</v>
      </c>
      <c r="H72" s="11" t="s">
        <v>75</v>
      </c>
    </row>
    <row r="73" spans="2:8" ht="15" x14ac:dyDescent="0.2">
      <c r="B73" s="12" t="s">
        <v>84</v>
      </c>
      <c r="C73" s="13">
        <v>57749</v>
      </c>
      <c r="D73" s="14" t="s">
        <v>75</v>
      </c>
      <c r="F73" s="150">
        <v>92671</v>
      </c>
      <c r="G73" s="154" t="s">
        <v>143</v>
      </c>
      <c r="H73" s="14" t="s">
        <v>75</v>
      </c>
    </row>
    <row r="74" spans="2:8" ht="15" x14ac:dyDescent="0.2">
      <c r="B74" s="9" t="s">
        <v>251</v>
      </c>
      <c r="C74" s="10">
        <v>7782505</v>
      </c>
      <c r="D74" s="11" t="s">
        <v>73</v>
      </c>
      <c r="F74" s="149">
        <v>92875</v>
      </c>
      <c r="G74" s="153" t="s">
        <v>144</v>
      </c>
      <c r="H74" s="11" t="s">
        <v>75</v>
      </c>
    </row>
    <row r="75" spans="2:8" ht="15" x14ac:dyDescent="0.2">
      <c r="B75" s="12" t="s">
        <v>127</v>
      </c>
      <c r="C75" s="13">
        <v>79118</v>
      </c>
      <c r="D75" s="14" t="s">
        <v>75</v>
      </c>
      <c r="F75" s="150">
        <v>92933</v>
      </c>
      <c r="G75" s="154" t="s">
        <v>145</v>
      </c>
      <c r="H75" s="14" t="s">
        <v>75</v>
      </c>
    </row>
    <row r="76" spans="2:8" ht="15" x14ac:dyDescent="0.2">
      <c r="B76" s="9" t="s">
        <v>186</v>
      </c>
      <c r="C76" s="10">
        <v>108907</v>
      </c>
      <c r="D76" s="11" t="s">
        <v>75</v>
      </c>
      <c r="F76" s="149">
        <v>94757</v>
      </c>
      <c r="G76" s="153" t="s">
        <v>146</v>
      </c>
      <c r="H76" s="11" t="s">
        <v>75</v>
      </c>
    </row>
    <row r="77" spans="2:8" ht="15" x14ac:dyDescent="0.2">
      <c r="B77" s="12" t="s">
        <v>215</v>
      </c>
      <c r="C77" s="13">
        <v>510156</v>
      </c>
      <c r="D77" s="14" t="s">
        <v>75</v>
      </c>
      <c r="F77" s="150">
        <v>95476</v>
      </c>
      <c r="G77" s="154" t="s">
        <v>147</v>
      </c>
      <c r="H77" s="14" t="s">
        <v>75</v>
      </c>
    </row>
    <row r="78" spans="2:8" ht="15" x14ac:dyDescent="0.2">
      <c r="B78" s="9" t="s">
        <v>96</v>
      </c>
      <c r="C78" s="10">
        <v>67663</v>
      </c>
      <c r="D78" s="11" t="s">
        <v>75</v>
      </c>
      <c r="F78" s="149">
        <v>95487</v>
      </c>
      <c r="G78" s="153" t="s">
        <v>148</v>
      </c>
      <c r="H78" s="11" t="s">
        <v>75</v>
      </c>
    </row>
    <row r="79" spans="2:8" ht="15" x14ac:dyDescent="0.2">
      <c r="B79" s="12" t="s">
        <v>103</v>
      </c>
      <c r="C79" s="13">
        <v>74873</v>
      </c>
      <c r="D79" s="14" t="s">
        <v>75</v>
      </c>
      <c r="F79" s="150">
        <v>95534</v>
      </c>
      <c r="G79" s="154" t="s">
        <v>149</v>
      </c>
      <c r="H79" s="14" t="s">
        <v>75</v>
      </c>
    </row>
    <row r="80" spans="2:8" ht="15" x14ac:dyDescent="0.2">
      <c r="B80" s="9" t="s">
        <v>180</v>
      </c>
      <c r="C80" s="10">
        <v>107302</v>
      </c>
      <c r="D80" s="11" t="s">
        <v>75</v>
      </c>
      <c r="F80" s="149">
        <v>95807</v>
      </c>
      <c r="G80" s="153" t="s">
        <v>150</v>
      </c>
      <c r="H80" s="11" t="s">
        <v>75</v>
      </c>
    </row>
    <row r="81" spans="2:8" ht="15" x14ac:dyDescent="0.2">
      <c r="B81" s="12" t="s">
        <v>204</v>
      </c>
      <c r="C81" s="13">
        <v>126998</v>
      </c>
      <c r="D81" s="14" t="s">
        <v>75</v>
      </c>
      <c r="F81" s="150">
        <v>95954</v>
      </c>
      <c r="G81" s="154" t="s">
        <v>151</v>
      </c>
      <c r="H81" s="14" t="s">
        <v>75</v>
      </c>
    </row>
    <row r="82" spans="2:8" ht="15" x14ac:dyDescent="0.2">
      <c r="B82" s="9" t="s">
        <v>244</v>
      </c>
      <c r="C82" s="10">
        <v>7440473</v>
      </c>
      <c r="D82" s="11" t="s">
        <v>73</v>
      </c>
      <c r="F82" s="149">
        <v>96093</v>
      </c>
      <c r="G82" s="153" t="s">
        <v>152</v>
      </c>
      <c r="H82" s="11" t="s">
        <v>75</v>
      </c>
    </row>
    <row r="83" spans="2:8" ht="15" x14ac:dyDescent="0.2">
      <c r="B83" s="12" t="s">
        <v>245</v>
      </c>
      <c r="C83" s="13">
        <v>7440484</v>
      </c>
      <c r="D83" s="14" t="s">
        <v>73</v>
      </c>
      <c r="F83" s="150">
        <v>96128</v>
      </c>
      <c r="G83" s="154" t="s">
        <v>153</v>
      </c>
      <c r="H83" s="14" t="s">
        <v>75</v>
      </c>
    </row>
    <row r="84" spans="2:8" ht="15" x14ac:dyDescent="0.2">
      <c r="B84" s="9" t="s">
        <v>228</v>
      </c>
      <c r="C84" s="10">
        <v>1319773</v>
      </c>
      <c r="D84" s="11" t="s">
        <v>75</v>
      </c>
      <c r="F84" s="149">
        <v>96457</v>
      </c>
      <c r="G84" s="153" t="s">
        <v>154</v>
      </c>
      <c r="H84" s="11" t="s">
        <v>73</v>
      </c>
    </row>
    <row r="85" spans="2:8" ht="15" x14ac:dyDescent="0.2">
      <c r="B85" s="12" t="s">
        <v>156</v>
      </c>
      <c r="C85" s="13">
        <v>98828</v>
      </c>
      <c r="D85" s="14" t="s">
        <v>75</v>
      </c>
      <c r="F85" s="150">
        <v>98077</v>
      </c>
      <c r="G85" s="154" t="s">
        <v>155</v>
      </c>
      <c r="H85" s="14" t="s">
        <v>75</v>
      </c>
    </row>
    <row r="86" spans="2:8" ht="15" x14ac:dyDescent="0.2">
      <c r="B86" s="9" t="s">
        <v>81</v>
      </c>
      <c r="C86" s="10">
        <v>57125</v>
      </c>
      <c r="D86" s="11" t="s">
        <v>73</v>
      </c>
      <c r="F86" s="149">
        <v>98828</v>
      </c>
      <c r="G86" s="153" t="s">
        <v>156</v>
      </c>
      <c r="H86" s="11" t="s">
        <v>75</v>
      </c>
    </row>
    <row r="87" spans="2:8" ht="15" x14ac:dyDescent="0.2">
      <c r="B87" s="12" t="s">
        <v>235</v>
      </c>
      <c r="C87" s="13">
        <v>3547044</v>
      </c>
      <c r="D87" s="14" t="s">
        <v>75</v>
      </c>
      <c r="F87" s="150">
        <v>98862</v>
      </c>
      <c r="G87" s="154" t="s">
        <v>157</v>
      </c>
      <c r="H87" s="14" t="s">
        <v>75</v>
      </c>
    </row>
    <row r="88" spans="2:8" ht="15" x14ac:dyDescent="0.2">
      <c r="B88" s="9" t="s">
        <v>213</v>
      </c>
      <c r="C88" s="10">
        <v>334883</v>
      </c>
      <c r="D88" s="11" t="s">
        <v>75</v>
      </c>
      <c r="F88" s="149">
        <v>98953</v>
      </c>
      <c r="G88" s="153" t="s">
        <v>158</v>
      </c>
      <c r="H88" s="11" t="s">
        <v>75</v>
      </c>
    </row>
    <row r="89" spans="2:8" ht="15" x14ac:dyDescent="0.2">
      <c r="B89" s="12" t="s">
        <v>206</v>
      </c>
      <c r="C89" s="13">
        <v>132649</v>
      </c>
      <c r="D89" s="14" t="s">
        <v>73</v>
      </c>
      <c r="F89" s="150">
        <v>100027</v>
      </c>
      <c r="G89" s="154" t="s">
        <v>159</v>
      </c>
      <c r="H89" s="14" t="s">
        <v>75</v>
      </c>
    </row>
    <row r="90" spans="2:8" ht="15" x14ac:dyDescent="0.2">
      <c r="B90" s="9" t="s">
        <v>133</v>
      </c>
      <c r="C90" s="10">
        <v>84742</v>
      </c>
      <c r="D90" s="11" t="s">
        <v>75</v>
      </c>
      <c r="F90" s="149">
        <v>100414</v>
      </c>
      <c r="G90" s="153" t="s">
        <v>160</v>
      </c>
      <c r="H90" s="11" t="s">
        <v>75</v>
      </c>
    </row>
    <row r="91" spans="2:8" ht="15" x14ac:dyDescent="0.2">
      <c r="B91" s="12" t="s">
        <v>189</v>
      </c>
      <c r="C91" s="13">
        <v>111444</v>
      </c>
      <c r="D91" s="14" t="s">
        <v>75</v>
      </c>
      <c r="F91" s="150">
        <v>100425</v>
      </c>
      <c r="G91" s="154" t="s">
        <v>161</v>
      </c>
      <c r="H91" s="14" t="s">
        <v>75</v>
      </c>
    </row>
    <row r="92" spans="2:8" ht="15" x14ac:dyDescent="0.2">
      <c r="B92" s="9" t="s">
        <v>91</v>
      </c>
      <c r="C92" s="10">
        <v>62737</v>
      </c>
      <c r="D92" s="11" t="s">
        <v>75</v>
      </c>
      <c r="F92" s="149">
        <v>100447</v>
      </c>
      <c r="G92" s="153" t="s">
        <v>162</v>
      </c>
      <c r="H92" s="11" t="s">
        <v>75</v>
      </c>
    </row>
    <row r="93" spans="2:8" ht="15" x14ac:dyDescent="0.2">
      <c r="B93" s="12" t="s">
        <v>27</v>
      </c>
      <c r="C93" s="13">
        <v>111422</v>
      </c>
      <c r="D93" s="14" t="s">
        <v>75</v>
      </c>
      <c r="F93" s="150">
        <v>101144</v>
      </c>
      <c r="G93" s="154" t="s">
        <v>163</v>
      </c>
      <c r="H93" s="14" t="s">
        <v>73</v>
      </c>
    </row>
    <row r="94" spans="2:8" ht="15" x14ac:dyDescent="0.2">
      <c r="B94" s="9" t="s">
        <v>94</v>
      </c>
      <c r="C94" s="10">
        <v>64675</v>
      </c>
      <c r="D94" s="11" t="s">
        <v>75</v>
      </c>
      <c r="F94" s="149">
        <v>101688</v>
      </c>
      <c r="G94" s="153" t="s">
        <v>164</v>
      </c>
      <c r="H94" s="11" t="s">
        <v>73</v>
      </c>
    </row>
    <row r="95" spans="2:8" ht="15" x14ac:dyDescent="0.2">
      <c r="B95" s="12" t="s">
        <v>191</v>
      </c>
      <c r="C95" s="13">
        <v>117817</v>
      </c>
      <c r="D95" s="14" t="s">
        <v>75</v>
      </c>
      <c r="F95" s="150">
        <v>101779</v>
      </c>
      <c r="G95" s="154" t="s">
        <v>165</v>
      </c>
      <c r="H95" s="14" t="s">
        <v>73</v>
      </c>
    </row>
    <row r="96" spans="2:8" ht="15" x14ac:dyDescent="0.2">
      <c r="B96" s="9" t="s">
        <v>87</v>
      </c>
      <c r="C96" s="10">
        <v>60117</v>
      </c>
      <c r="D96" s="11" t="s">
        <v>75</v>
      </c>
      <c r="F96" s="149">
        <v>106423</v>
      </c>
      <c r="G96" s="153" t="s">
        <v>166</v>
      </c>
      <c r="H96" s="11" t="s">
        <v>75</v>
      </c>
    </row>
    <row r="97" spans="2:8" ht="15" x14ac:dyDescent="0.2">
      <c r="B97" s="12" t="s">
        <v>129</v>
      </c>
      <c r="C97" s="13">
        <v>79447</v>
      </c>
      <c r="D97" s="14" t="s">
        <v>75</v>
      </c>
      <c r="F97" s="150">
        <v>106445</v>
      </c>
      <c r="G97" s="154" t="s">
        <v>167</v>
      </c>
      <c r="H97" s="14" t="s">
        <v>75</v>
      </c>
    </row>
    <row r="98" spans="2:8" ht="15" x14ac:dyDescent="0.2">
      <c r="B98" s="9" t="s">
        <v>98</v>
      </c>
      <c r="C98" s="10">
        <v>68122</v>
      </c>
      <c r="D98" s="11" t="s">
        <v>75</v>
      </c>
      <c r="F98" s="149">
        <v>106467</v>
      </c>
      <c r="G98" s="153" t="s">
        <v>168</v>
      </c>
      <c r="H98" s="11" t="s">
        <v>75</v>
      </c>
    </row>
    <row r="99" spans="2:8" ht="15" x14ac:dyDescent="0.2">
      <c r="B99" s="12" t="s">
        <v>205</v>
      </c>
      <c r="C99" s="13">
        <v>131113</v>
      </c>
      <c r="D99" s="14" t="s">
        <v>75</v>
      </c>
      <c r="F99" s="150">
        <v>106503</v>
      </c>
      <c r="G99" s="154" t="s">
        <v>169</v>
      </c>
      <c r="H99" s="14" t="s">
        <v>75</v>
      </c>
    </row>
    <row r="100" spans="2:8" ht="15" x14ac:dyDescent="0.2">
      <c r="B100" s="9" t="s">
        <v>120</v>
      </c>
      <c r="C100" s="10">
        <v>77781</v>
      </c>
      <c r="D100" s="11" t="s">
        <v>75</v>
      </c>
      <c r="F100" s="149">
        <v>106514</v>
      </c>
      <c r="G100" s="153" t="s">
        <v>170</v>
      </c>
      <c r="H100" s="11" t="s">
        <v>75</v>
      </c>
    </row>
    <row r="101" spans="2:8" ht="15" x14ac:dyDescent="0.2">
      <c r="B101" s="12" t="s">
        <v>172</v>
      </c>
      <c r="C101" s="13">
        <v>106898</v>
      </c>
      <c r="D101" s="14" t="s">
        <v>75</v>
      </c>
      <c r="F101" s="150">
        <v>106887</v>
      </c>
      <c r="G101" s="154" t="s">
        <v>171</v>
      </c>
      <c r="H101" s="14" t="s">
        <v>75</v>
      </c>
    </row>
    <row r="102" spans="2:8" ht="15" x14ac:dyDescent="0.2">
      <c r="B102" s="9" t="s">
        <v>209</v>
      </c>
      <c r="C102" s="10">
        <v>140885</v>
      </c>
      <c r="D102" s="11" t="s">
        <v>75</v>
      </c>
      <c r="F102" s="149">
        <v>106898</v>
      </c>
      <c r="G102" s="153" t="s">
        <v>172</v>
      </c>
      <c r="H102" s="11" t="s">
        <v>75</v>
      </c>
    </row>
    <row r="103" spans="2:8" ht="15" x14ac:dyDescent="0.2">
      <c r="B103" s="12" t="s">
        <v>160</v>
      </c>
      <c r="C103" s="13">
        <v>100414</v>
      </c>
      <c r="D103" s="14" t="s">
        <v>75</v>
      </c>
      <c r="F103" s="150">
        <v>106934</v>
      </c>
      <c r="G103" s="154" t="s">
        <v>173</v>
      </c>
      <c r="H103" s="14" t="s">
        <v>75</v>
      </c>
    </row>
    <row r="104" spans="2:8" ht="15" x14ac:dyDescent="0.2">
      <c r="B104" s="9" t="s">
        <v>77</v>
      </c>
      <c r="C104" s="10">
        <v>51796</v>
      </c>
      <c r="D104" s="11" t="s">
        <v>73</v>
      </c>
      <c r="F104" s="149">
        <v>106990</v>
      </c>
      <c r="G104" s="153" t="s">
        <v>174</v>
      </c>
      <c r="H104" s="11" t="s">
        <v>75</v>
      </c>
    </row>
    <row r="105" spans="2:8" ht="15" x14ac:dyDescent="0.2">
      <c r="B105" s="12" t="s">
        <v>105</v>
      </c>
      <c r="C105" s="13">
        <v>75003</v>
      </c>
      <c r="D105" s="14" t="s">
        <v>75</v>
      </c>
      <c r="F105" s="150">
        <v>107028</v>
      </c>
      <c r="G105" s="154" t="s">
        <v>175</v>
      </c>
      <c r="H105" s="14" t="s">
        <v>75</v>
      </c>
    </row>
    <row r="106" spans="2:8" ht="15" x14ac:dyDescent="0.2">
      <c r="B106" s="9" t="s">
        <v>173</v>
      </c>
      <c r="C106" s="10">
        <v>106934</v>
      </c>
      <c r="D106" s="11" t="s">
        <v>75</v>
      </c>
      <c r="F106" s="149">
        <v>107051</v>
      </c>
      <c r="G106" s="153" t="s">
        <v>176</v>
      </c>
      <c r="H106" s="11" t="s">
        <v>75</v>
      </c>
    </row>
    <row r="107" spans="2:8" ht="15" x14ac:dyDescent="0.2">
      <c r="B107" s="12" t="s">
        <v>177</v>
      </c>
      <c r="C107" s="13">
        <v>107062</v>
      </c>
      <c r="D107" s="14" t="s">
        <v>75</v>
      </c>
      <c r="F107" s="150">
        <v>107062</v>
      </c>
      <c r="G107" s="154" t="s">
        <v>177</v>
      </c>
      <c r="H107" s="14" t="s">
        <v>75</v>
      </c>
    </row>
    <row r="108" spans="2:8" ht="15" x14ac:dyDescent="0.2">
      <c r="B108" s="9" t="s">
        <v>179</v>
      </c>
      <c r="C108" s="10">
        <v>107211</v>
      </c>
      <c r="D108" s="11" t="s">
        <v>75</v>
      </c>
      <c r="F108" s="149">
        <v>107131</v>
      </c>
      <c r="G108" s="153" t="s">
        <v>178</v>
      </c>
      <c r="H108" s="11" t="s">
        <v>75</v>
      </c>
    </row>
    <row r="109" spans="2:8" ht="15" x14ac:dyDescent="0.2">
      <c r="B109" s="12" t="s">
        <v>210</v>
      </c>
      <c r="C109" s="13">
        <v>151564</v>
      </c>
      <c r="D109" s="14" t="s">
        <v>75</v>
      </c>
      <c r="F109" s="150">
        <v>107211</v>
      </c>
      <c r="G109" s="154" t="s">
        <v>179</v>
      </c>
      <c r="H109" s="14" t="s">
        <v>75</v>
      </c>
    </row>
    <row r="110" spans="2:8" ht="15" x14ac:dyDescent="0.2">
      <c r="B110" s="9" t="s">
        <v>111</v>
      </c>
      <c r="C110" s="10">
        <v>75218</v>
      </c>
      <c r="D110" s="11" t="s">
        <v>75</v>
      </c>
      <c r="F110" s="149">
        <v>107302</v>
      </c>
      <c r="G110" s="153" t="s">
        <v>180</v>
      </c>
      <c r="H110" s="11" t="s">
        <v>75</v>
      </c>
    </row>
    <row r="111" spans="2:8" ht="15" x14ac:dyDescent="0.2">
      <c r="B111" s="12" t="s">
        <v>154</v>
      </c>
      <c r="C111" s="13">
        <v>96457</v>
      </c>
      <c r="D111" s="14" t="s">
        <v>73</v>
      </c>
      <c r="F111" s="150">
        <v>108054</v>
      </c>
      <c r="G111" s="154" t="s">
        <v>181</v>
      </c>
      <c r="H111" s="14" t="s">
        <v>75</v>
      </c>
    </row>
    <row r="112" spans="2:8" ht="15" x14ac:dyDescent="0.2">
      <c r="B112" s="9" t="s">
        <v>74</v>
      </c>
      <c r="C112" s="10">
        <v>50000</v>
      </c>
      <c r="D112" s="11" t="s">
        <v>75</v>
      </c>
      <c r="F112" s="149">
        <v>108101</v>
      </c>
      <c r="G112" s="153" t="s">
        <v>182</v>
      </c>
      <c r="H112" s="11" t="s">
        <v>75</v>
      </c>
    </row>
    <row r="113" spans="2:8" ht="15" x14ac:dyDescent="0.2">
      <c r="B113" s="12" t="s">
        <v>72</v>
      </c>
      <c r="C113" s="13">
        <v>171</v>
      </c>
      <c r="D113" s="14" t="s">
        <v>73</v>
      </c>
      <c r="F113" s="150">
        <v>108316</v>
      </c>
      <c r="G113" s="154" t="s">
        <v>183</v>
      </c>
      <c r="H113" s="14" t="s">
        <v>73</v>
      </c>
    </row>
    <row r="114" spans="2:8" ht="15" x14ac:dyDescent="0.2">
      <c r="B114" s="9" t="s">
        <v>118</v>
      </c>
      <c r="C114" s="10">
        <v>76448</v>
      </c>
      <c r="D114" s="11" t="s">
        <v>75</v>
      </c>
      <c r="F114" s="149">
        <v>108383</v>
      </c>
      <c r="G114" s="153" t="s">
        <v>184</v>
      </c>
      <c r="H114" s="11" t="s">
        <v>75</v>
      </c>
    </row>
    <row r="115" spans="2:8" ht="15" x14ac:dyDescent="0.2">
      <c r="B115" s="12" t="s">
        <v>192</v>
      </c>
      <c r="C115" s="13">
        <v>118741</v>
      </c>
      <c r="D115" s="14" t="s">
        <v>73</v>
      </c>
      <c r="F115" s="150">
        <v>108394</v>
      </c>
      <c r="G115" s="154" t="s">
        <v>185</v>
      </c>
      <c r="H115" s="14" t="s">
        <v>75</v>
      </c>
    </row>
    <row r="116" spans="2:8" ht="15" x14ac:dyDescent="0.2">
      <c r="B116" s="9" t="s">
        <v>135</v>
      </c>
      <c r="C116" s="10">
        <v>87683</v>
      </c>
      <c r="D116" s="11" t="s">
        <v>75</v>
      </c>
      <c r="F116" s="149">
        <v>108883</v>
      </c>
      <c r="G116" s="153" t="s">
        <v>1</v>
      </c>
      <c r="H116" s="11" t="s">
        <v>75</v>
      </c>
    </row>
    <row r="117" spans="2:8" ht="15" x14ac:dyDescent="0.2">
      <c r="B117" s="12" t="s">
        <v>119</v>
      </c>
      <c r="C117" s="13">
        <v>77474</v>
      </c>
      <c r="D117" s="14" t="s">
        <v>75</v>
      </c>
      <c r="F117" s="150">
        <v>108907</v>
      </c>
      <c r="G117" s="154" t="s">
        <v>186</v>
      </c>
      <c r="H117" s="14" t="s">
        <v>75</v>
      </c>
    </row>
    <row r="118" spans="2:8" ht="15" x14ac:dyDescent="0.2">
      <c r="B118" s="9" t="s">
        <v>97</v>
      </c>
      <c r="C118" s="10">
        <v>67721</v>
      </c>
      <c r="D118" s="11" t="s">
        <v>73</v>
      </c>
      <c r="F118" s="149">
        <v>108952</v>
      </c>
      <c r="G118" s="153" t="s">
        <v>187</v>
      </c>
      <c r="H118" s="11" t="s">
        <v>75</v>
      </c>
    </row>
    <row r="119" spans="2:8" ht="15" x14ac:dyDescent="0.2">
      <c r="B119" s="12" t="s">
        <v>226</v>
      </c>
      <c r="C119" s="13">
        <v>822060</v>
      </c>
      <c r="D119" s="14" t="s">
        <v>73</v>
      </c>
      <c r="F119" s="150">
        <v>110543</v>
      </c>
      <c r="G119" s="154" t="s">
        <v>188</v>
      </c>
      <c r="H119" s="14" t="s">
        <v>75</v>
      </c>
    </row>
    <row r="120" spans="2:8" ht="15" x14ac:dyDescent="0.2">
      <c r="B120" s="9" t="s">
        <v>224</v>
      </c>
      <c r="C120" s="10">
        <v>680319</v>
      </c>
      <c r="D120" s="11" t="s">
        <v>73</v>
      </c>
      <c r="F120" s="149">
        <v>111422</v>
      </c>
      <c r="G120" s="153" t="s">
        <v>27</v>
      </c>
      <c r="H120" s="11" t="s">
        <v>75</v>
      </c>
    </row>
    <row r="121" spans="2:8" ht="15" x14ac:dyDescent="0.2">
      <c r="B121" s="12" t="s">
        <v>188</v>
      </c>
      <c r="C121" s="13">
        <v>110543</v>
      </c>
      <c r="D121" s="14" t="s">
        <v>75</v>
      </c>
      <c r="F121" s="150">
        <v>111444</v>
      </c>
      <c r="G121" s="154" t="s">
        <v>189</v>
      </c>
      <c r="H121" s="14" t="s">
        <v>75</v>
      </c>
    </row>
    <row r="122" spans="2:8" ht="15" x14ac:dyDescent="0.2">
      <c r="B122" s="9" t="s">
        <v>212</v>
      </c>
      <c r="C122" s="10">
        <v>302012</v>
      </c>
      <c r="D122" s="11" t="s">
        <v>73</v>
      </c>
      <c r="F122" s="149">
        <v>114261</v>
      </c>
      <c r="G122" s="153" t="s">
        <v>190</v>
      </c>
      <c r="H122" s="11" t="s">
        <v>73</v>
      </c>
    </row>
    <row r="123" spans="2:8" ht="15" x14ac:dyDescent="0.2">
      <c r="B123" s="12" t="s">
        <v>247</v>
      </c>
      <c r="C123" s="13">
        <v>7647010</v>
      </c>
      <c r="D123" s="14" t="s">
        <v>73</v>
      </c>
      <c r="F123" s="150">
        <v>117817</v>
      </c>
      <c r="G123" s="154" t="s">
        <v>191</v>
      </c>
      <c r="H123" s="14" t="s">
        <v>75</v>
      </c>
    </row>
    <row r="124" spans="2:8" ht="15" x14ac:dyDescent="0.2">
      <c r="B124" s="9" t="s">
        <v>248</v>
      </c>
      <c r="C124" s="10">
        <v>7664393</v>
      </c>
      <c r="D124" s="11" t="s">
        <v>73</v>
      </c>
      <c r="F124" s="149">
        <v>118741</v>
      </c>
      <c r="G124" s="153" t="s">
        <v>192</v>
      </c>
      <c r="H124" s="11" t="s">
        <v>73</v>
      </c>
    </row>
    <row r="125" spans="2:8" ht="15" x14ac:dyDescent="0.2">
      <c r="B125" s="12" t="s">
        <v>201</v>
      </c>
      <c r="C125" s="13">
        <v>123319</v>
      </c>
      <c r="D125" s="14" t="s">
        <v>75</v>
      </c>
      <c r="F125" s="150">
        <v>119904</v>
      </c>
      <c r="G125" s="154" t="s">
        <v>193</v>
      </c>
      <c r="H125" s="14" t="s">
        <v>75</v>
      </c>
    </row>
    <row r="126" spans="2:8" ht="15" x14ac:dyDescent="0.2">
      <c r="B126" s="9" t="s">
        <v>121</v>
      </c>
      <c r="C126" s="10">
        <v>78591</v>
      </c>
      <c r="D126" s="11" t="s">
        <v>75</v>
      </c>
      <c r="F126" s="149">
        <v>119937</v>
      </c>
      <c r="G126" s="153" t="s">
        <v>194</v>
      </c>
      <c r="H126" s="11" t="s">
        <v>75</v>
      </c>
    </row>
    <row r="127" spans="2:8" ht="15" x14ac:dyDescent="0.2">
      <c r="B127" s="12" t="s">
        <v>236</v>
      </c>
      <c r="C127" s="13">
        <v>7439921</v>
      </c>
      <c r="D127" s="14" t="s">
        <v>73</v>
      </c>
      <c r="F127" s="150">
        <v>120809</v>
      </c>
      <c r="G127" s="154" t="s">
        <v>195</v>
      </c>
      <c r="H127" s="14" t="s">
        <v>75</v>
      </c>
    </row>
    <row r="128" spans="2:8" ht="15" x14ac:dyDescent="0.2">
      <c r="B128" s="9" t="s">
        <v>85</v>
      </c>
      <c r="C128" s="10">
        <v>58899</v>
      </c>
      <c r="D128" s="11" t="s">
        <v>73</v>
      </c>
      <c r="F128" s="149">
        <v>120821</v>
      </c>
      <c r="G128" s="153" t="s">
        <v>196</v>
      </c>
      <c r="H128" s="11" t="s">
        <v>75</v>
      </c>
    </row>
    <row r="129" spans="2:8" ht="15" x14ac:dyDescent="0.2">
      <c r="B129" s="12" t="s">
        <v>183</v>
      </c>
      <c r="C129" s="13">
        <v>108316</v>
      </c>
      <c r="D129" s="14" t="s">
        <v>73</v>
      </c>
      <c r="F129" s="150">
        <v>121142</v>
      </c>
      <c r="G129" s="154" t="s">
        <v>197</v>
      </c>
      <c r="H129" s="14" t="s">
        <v>75</v>
      </c>
    </row>
    <row r="130" spans="2:8" ht="15" x14ac:dyDescent="0.2">
      <c r="B130" s="9" t="s">
        <v>237</v>
      </c>
      <c r="C130" s="10">
        <v>7439965</v>
      </c>
      <c r="D130" s="11" t="s">
        <v>73</v>
      </c>
      <c r="F130" s="149">
        <v>121448</v>
      </c>
      <c r="G130" s="153" t="s">
        <v>198</v>
      </c>
      <c r="H130" s="11" t="s">
        <v>75</v>
      </c>
    </row>
    <row r="131" spans="2:8" ht="15" x14ac:dyDescent="0.2">
      <c r="B131" s="12" t="s">
        <v>185</v>
      </c>
      <c r="C131" s="13">
        <v>108394</v>
      </c>
      <c r="D131" s="14" t="s">
        <v>75</v>
      </c>
      <c r="F131" s="150">
        <v>121697</v>
      </c>
      <c r="G131" s="154" t="s">
        <v>199</v>
      </c>
      <c r="H131" s="14" t="s">
        <v>75</v>
      </c>
    </row>
    <row r="132" spans="2:8" ht="15" x14ac:dyDescent="0.2">
      <c r="B132" s="9" t="s">
        <v>238</v>
      </c>
      <c r="C132" s="10">
        <v>7439976</v>
      </c>
      <c r="D132" s="11" t="s">
        <v>73</v>
      </c>
      <c r="F132" s="149">
        <v>122667</v>
      </c>
      <c r="G132" s="153" t="s">
        <v>200</v>
      </c>
      <c r="H132" s="11" t="s">
        <v>75</v>
      </c>
    </row>
    <row r="133" spans="2:8" ht="15" x14ac:dyDescent="0.2">
      <c r="B133" s="12" t="s">
        <v>95</v>
      </c>
      <c r="C133" s="13">
        <v>67561</v>
      </c>
      <c r="D133" s="14" t="s">
        <v>75</v>
      </c>
      <c r="F133" s="150">
        <v>123319</v>
      </c>
      <c r="G133" s="154" t="s">
        <v>201</v>
      </c>
      <c r="H133" s="14" t="s">
        <v>75</v>
      </c>
    </row>
    <row r="134" spans="2:8" ht="15" x14ac:dyDescent="0.2">
      <c r="B134" s="9" t="s">
        <v>101</v>
      </c>
      <c r="C134" s="10">
        <v>72435</v>
      </c>
      <c r="D134" s="11" t="s">
        <v>75</v>
      </c>
      <c r="F134" s="149">
        <v>123386</v>
      </c>
      <c r="G134" s="153" t="s">
        <v>202</v>
      </c>
      <c r="H134" s="11" t="s">
        <v>75</v>
      </c>
    </row>
    <row r="135" spans="2:8" ht="15" x14ac:dyDescent="0.2">
      <c r="B135" s="12" t="s">
        <v>102</v>
      </c>
      <c r="C135" s="13">
        <v>74839</v>
      </c>
      <c r="D135" s="14" t="s">
        <v>75</v>
      </c>
      <c r="F135" s="150">
        <v>123911</v>
      </c>
      <c r="G135" s="154" t="s">
        <v>203</v>
      </c>
      <c r="H135" s="14" t="s">
        <v>75</v>
      </c>
    </row>
    <row r="136" spans="2:8" ht="15" x14ac:dyDescent="0.2">
      <c r="B136" s="9" t="s">
        <v>88</v>
      </c>
      <c r="C136" s="10">
        <v>60344</v>
      </c>
      <c r="D136" s="11" t="s">
        <v>75</v>
      </c>
      <c r="F136" s="149">
        <v>126998</v>
      </c>
      <c r="G136" s="153" t="s">
        <v>204</v>
      </c>
      <c r="H136" s="11" t="s">
        <v>75</v>
      </c>
    </row>
    <row r="137" spans="2:8" ht="15" x14ac:dyDescent="0.2">
      <c r="B137" s="12" t="s">
        <v>104</v>
      </c>
      <c r="C137" s="13">
        <v>74884</v>
      </c>
      <c r="D137" s="14" t="s">
        <v>75</v>
      </c>
      <c r="F137" s="150">
        <v>127184</v>
      </c>
      <c r="G137" s="154" t="s">
        <v>2</v>
      </c>
      <c r="H137" s="14" t="s">
        <v>73</v>
      </c>
    </row>
    <row r="138" spans="2:8" ht="15" x14ac:dyDescent="0.2">
      <c r="B138" s="9" t="s">
        <v>182</v>
      </c>
      <c r="C138" s="10">
        <v>108101</v>
      </c>
      <c r="D138" s="11" t="s">
        <v>75</v>
      </c>
      <c r="F138" s="149">
        <v>131113</v>
      </c>
      <c r="G138" s="153" t="s">
        <v>205</v>
      </c>
      <c r="H138" s="11" t="s">
        <v>75</v>
      </c>
    </row>
    <row r="139" spans="2:8" ht="15" x14ac:dyDescent="0.2">
      <c r="B139" s="12" t="s">
        <v>223</v>
      </c>
      <c r="C139" s="13">
        <v>624839</v>
      </c>
      <c r="D139" s="14" t="s">
        <v>75</v>
      </c>
      <c r="F139" s="150">
        <v>132649</v>
      </c>
      <c r="G139" s="154" t="s">
        <v>206</v>
      </c>
      <c r="H139" s="14" t="s">
        <v>73</v>
      </c>
    </row>
    <row r="140" spans="2:8" ht="15" x14ac:dyDescent="0.2">
      <c r="B140" s="9" t="s">
        <v>131</v>
      </c>
      <c r="C140" s="10">
        <v>80626</v>
      </c>
      <c r="D140" s="11" t="s">
        <v>75</v>
      </c>
      <c r="F140" s="149">
        <v>133062</v>
      </c>
      <c r="G140" s="153" t="s">
        <v>207</v>
      </c>
      <c r="H140" s="11" t="s">
        <v>73</v>
      </c>
    </row>
    <row r="141" spans="2:8" ht="15" x14ac:dyDescent="0.2">
      <c r="B141" s="12" t="s">
        <v>233</v>
      </c>
      <c r="C141" s="13">
        <v>1634044</v>
      </c>
      <c r="D141" s="14" t="s">
        <v>75</v>
      </c>
      <c r="F141" s="150">
        <v>133904</v>
      </c>
      <c r="G141" s="154" t="s">
        <v>208</v>
      </c>
      <c r="H141" s="14" t="s">
        <v>73</v>
      </c>
    </row>
    <row r="142" spans="2:8" ht="15" x14ac:dyDescent="0.2">
      <c r="B142" s="9" t="s">
        <v>109</v>
      </c>
      <c r="C142" s="10">
        <v>75092</v>
      </c>
      <c r="D142" s="11" t="s">
        <v>73</v>
      </c>
      <c r="F142" s="149">
        <v>140885</v>
      </c>
      <c r="G142" s="153" t="s">
        <v>209</v>
      </c>
      <c r="H142" s="11" t="s">
        <v>75</v>
      </c>
    </row>
    <row r="143" spans="2:8" ht="15" x14ac:dyDescent="0.2">
      <c r="B143" s="12" t="s">
        <v>164</v>
      </c>
      <c r="C143" s="13">
        <v>101688</v>
      </c>
      <c r="D143" s="14" t="s">
        <v>73</v>
      </c>
      <c r="F143" s="150">
        <v>151564</v>
      </c>
      <c r="G143" s="154" t="s">
        <v>210</v>
      </c>
      <c r="H143" s="14" t="s">
        <v>75</v>
      </c>
    </row>
    <row r="144" spans="2:8" ht="15" x14ac:dyDescent="0.2">
      <c r="B144" s="9" t="s">
        <v>184</v>
      </c>
      <c r="C144" s="10">
        <v>108383</v>
      </c>
      <c r="D144" s="11" t="s">
        <v>75</v>
      </c>
      <c r="F144" s="149">
        <v>156627</v>
      </c>
      <c r="G144" s="153" t="s">
        <v>211</v>
      </c>
      <c r="H144" s="11" t="s">
        <v>73</v>
      </c>
    </row>
    <row r="145" spans="2:8" ht="15" x14ac:dyDescent="0.2">
      <c r="B145" s="12" t="s">
        <v>199</v>
      </c>
      <c r="C145" s="13">
        <v>121697</v>
      </c>
      <c r="D145" s="14" t="s">
        <v>75</v>
      </c>
      <c r="F145" s="150">
        <v>302012</v>
      </c>
      <c r="G145" s="154" t="s">
        <v>212</v>
      </c>
      <c r="H145" s="14" t="s">
        <v>73</v>
      </c>
    </row>
    <row r="146" spans="2:8" ht="15" x14ac:dyDescent="0.2">
      <c r="B146" s="9" t="s">
        <v>139</v>
      </c>
      <c r="C146" s="10">
        <v>91203</v>
      </c>
      <c r="D146" s="11" t="s">
        <v>75</v>
      </c>
      <c r="F146" s="149">
        <v>334883</v>
      </c>
      <c r="G146" s="153" t="s">
        <v>213</v>
      </c>
      <c r="H146" s="11" t="s">
        <v>75</v>
      </c>
    </row>
    <row r="147" spans="2:8" ht="15" x14ac:dyDescent="0.2">
      <c r="B147" s="12" t="s">
        <v>239</v>
      </c>
      <c r="C147" s="13">
        <v>7440020</v>
      </c>
      <c r="D147" s="14" t="s">
        <v>73</v>
      </c>
      <c r="F147" s="150">
        <v>463581</v>
      </c>
      <c r="G147" s="154" t="s">
        <v>214</v>
      </c>
      <c r="H147" s="14" t="s">
        <v>75</v>
      </c>
    </row>
    <row r="148" spans="2:8" ht="15" x14ac:dyDescent="0.2">
      <c r="B148" s="9" t="s">
        <v>158</v>
      </c>
      <c r="C148" s="10">
        <v>98953</v>
      </c>
      <c r="D148" s="11" t="s">
        <v>75</v>
      </c>
      <c r="F148" s="149">
        <v>510156</v>
      </c>
      <c r="G148" s="153" t="s">
        <v>215</v>
      </c>
      <c r="H148" s="11" t="s">
        <v>75</v>
      </c>
    </row>
    <row r="149" spans="2:8" ht="15" x14ac:dyDescent="0.2">
      <c r="B149" s="12" t="s">
        <v>92</v>
      </c>
      <c r="C149" s="13">
        <v>62759</v>
      </c>
      <c r="D149" s="14" t="s">
        <v>75</v>
      </c>
      <c r="F149" s="150">
        <v>532274</v>
      </c>
      <c r="G149" s="154" t="s">
        <v>216</v>
      </c>
      <c r="H149" s="14" t="s">
        <v>75</v>
      </c>
    </row>
    <row r="150" spans="2:8" ht="15" x14ac:dyDescent="0.2">
      <c r="B150" s="9" t="s">
        <v>86</v>
      </c>
      <c r="C150" s="10">
        <v>59892</v>
      </c>
      <c r="D150" s="11" t="s">
        <v>75</v>
      </c>
      <c r="F150" s="149">
        <v>534521</v>
      </c>
      <c r="G150" s="153" t="s">
        <v>217</v>
      </c>
      <c r="H150" s="11" t="s">
        <v>73</v>
      </c>
    </row>
    <row r="151" spans="2:8" ht="15" x14ac:dyDescent="0.2">
      <c r="B151" s="12" t="s">
        <v>225</v>
      </c>
      <c r="C151" s="13">
        <v>684935</v>
      </c>
      <c r="D151" s="14" t="s">
        <v>75</v>
      </c>
      <c r="F151" s="150">
        <v>540841</v>
      </c>
      <c r="G151" s="154" t="s">
        <v>218</v>
      </c>
      <c r="H151" s="14" t="s">
        <v>75</v>
      </c>
    </row>
    <row r="152" spans="2:8" ht="15" x14ac:dyDescent="0.2">
      <c r="B152" s="9" t="s">
        <v>138</v>
      </c>
      <c r="C152" s="10">
        <v>90040</v>
      </c>
      <c r="D152" s="11" t="s">
        <v>75</v>
      </c>
      <c r="F152" s="149">
        <v>542756</v>
      </c>
      <c r="G152" s="153" t="s">
        <v>219</v>
      </c>
      <c r="H152" s="11" t="s">
        <v>75</v>
      </c>
    </row>
    <row r="153" spans="2:8" ht="15" x14ac:dyDescent="0.2">
      <c r="B153" s="12" t="s">
        <v>148</v>
      </c>
      <c r="C153" s="13">
        <v>95487</v>
      </c>
      <c r="D153" s="14" t="s">
        <v>75</v>
      </c>
      <c r="F153" s="150">
        <v>542881</v>
      </c>
      <c r="G153" s="154" t="s">
        <v>220</v>
      </c>
      <c r="H153" s="14" t="s">
        <v>75</v>
      </c>
    </row>
    <row r="154" spans="2:8" ht="15" x14ac:dyDescent="0.2">
      <c r="B154" s="9" t="s">
        <v>149</v>
      </c>
      <c r="C154" s="10">
        <v>95534</v>
      </c>
      <c r="D154" s="11" t="s">
        <v>75</v>
      </c>
      <c r="F154" s="149">
        <v>584849</v>
      </c>
      <c r="G154" s="153" t="s">
        <v>221</v>
      </c>
      <c r="H154" s="11" t="s">
        <v>75</v>
      </c>
    </row>
    <row r="155" spans="2:8" ht="15" x14ac:dyDescent="0.2">
      <c r="B155" s="12" t="s">
        <v>147</v>
      </c>
      <c r="C155" s="13">
        <v>95476</v>
      </c>
      <c r="D155" s="14" t="s">
        <v>75</v>
      </c>
      <c r="F155" s="150">
        <v>593602</v>
      </c>
      <c r="G155" s="154" t="s">
        <v>222</v>
      </c>
      <c r="H155" s="14" t="s">
        <v>75</v>
      </c>
    </row>
    <row r="156" spans="2:8" ht="15" x14ac:dyDescent="0.2">
      <c r="B156" s="9" t="s">
        <v>80</v>
      </c>
      <c r="C156" s="10">
        <v>56382</v>
      </c>
      <c r="D156" s="11" t="s">
        <v>75</v>
      </c>
      <c r="F156" s="149">
        <v>624839</v>
      </c>
      <c r="G156" s="153" t="s">
        <v>223</v>
      </c>
      <c r="H156" s="11" t="s">
        <v>75</v>
      </c>
    </row>
    <row r="157" spans="2:8" ht="15" x14ac:dyDescent="0.2">
      <c r="B157" s="12" t="s">
        <v>167</v>
      </c>
      <c r="C157" s="13">
        <v>106445</v>
      </c>
      <c r="D157" s="14" t="s">
        <v>75</v>
      </c>
      <c r="F157" s="150">
        <v>680319</v>
      </c>
      <c r="G157" s="154" t="s">
        <v>224</v>
      </c>
      <c r="H157" s="14" t="s">
        <v>73</v>
      </c>
    </row>
    <row r="158" spans="2:8" ht="15" x14ac:dyDescent="0.2">
      <c r="B158" s="9" t="s">
        <v>132</v>
      </c>
      <c r="C158" s="10">
        <v>82688</v>
      </c>
      <c r="D158" s="11" t="s">
        <v>75</v>
      </c>
      <c r="F158" s="149">
        <v>684935</v>
      </c>
      <c r="G158" s="153" t="s">
        <v>225</v>
      </c>
      <c r="H158" s="11" t="s">
        <v>75</v>
      </c>
    </row>
    <row r="159" spans="2:8" ht="15" x14ac:dyDescent="0.2">
      <c r="B159" s="12" t="s">
        <v>136</v>
      </c>
      <c r="C159" s="13">
        <v>87865</v>
      </c>
      <c r="D159" s="14" t="s">
        <v>75</v>
      </c>
      <c r="F159" s="150">
        <v>822060</v>
      </c>
      <c r="G159" s="154" t="s">
        <v>226</v>
      </c>
      <c r="H159" s="14" t="s">
        <v>73</v>
      </c>
    </row>
    <row r="160" spans="2:8" ht="15" x14ac:dyDescent="0.2">
      <c r="B160" s="9" t="s">
        <v>2</v>
      </c>
      <c r="C160" s="10">
        <v>127184</v>
      </c>
      <c r="D160" s="11" t="s">
        <v>73</v>
      </c>
      <c r="F160" s="149">
        <v>1120714</v>
      </c>
      <c r="G160" s="153" t="s">
        <v>227</v>
      </c>
      <c r="H160" s="11" t="s">
        <v>73</v>
      </c>
    </row>
    <row r="161" spans="2:8" ht="15" x14ac:dyDescent="0.2">
      <c r="B161" s="12" t="s">
        <v>187</v>
      </c>
      <c r="C161" s="13">
        <v>108952</v>
      </c>
      <c r="D161" s="14" t="s">
        <v>75</v>
      </c>
      <c r="F161" s="150">
        <v>1319773</v>
      </c>
      <c r="G161" s="154" t="s">
        <v>228</v>
      </c>
      <c r="H161" s="14" t="s">
        <v>75</v>
      </c>
    </row>
    <row r="162" spans="2:8" ht="15" x14ac:dyDescent="0.2">
      <c r="B162" s="9" t="s">
        <v>115</v>
      </c>
      <c r="C162" s="10">
        <v>75445</v>
      </c>
      <c r="D162" s="11" t="s">
        <v>75</v>
      </c>
      <c r="F162" s="149">
        <v>1330207</v>
      </c>
      <c r="G162" s="153" t="s">
        <v>229</v>
      </c>
      <c r="H162" s="11" t="s">
        <v>75</v>
      </c>
    </row>
    <row r="163" spans="2:8" ht="15" x14ac:dyDescent="0.2">
      <c r="B163" s="12" t="s">
        <v>252</v>
      </c>
      <c r="C163" s="13">
        <v>7803512</v>
      </c>
      <c r="D163" s="14" t="s">
        <v>73</v>
      </c>
      <c r="F163" s="150">
        <v>1332214</v>
      </c>
      <c r="G163" s="154" t="s">
        <v>230</v>
      </c>
      <c r="H163" s="14" t="s">
        <v>73</v>
      </c>
    </row>
    <row r="164" spans="2:8" ht="15" x14ac:dyDescent="0.2">
      <c r="B164" s="9" t="s">
        <v>249</v>
      </c>
      <c r="C164" s="10">
        <v>7723140</v>
      </c>
      <c r="D164" s="11" t="s">
        <v>73</v>
      </c>
      <c r="F164" s="149">
        <v>1336363</v>
      </c>
      <c r="G164" s="153" t="s">
        <v>231</v>
      </c>
      <c r="H164" s="11" t="s">
        <v>75</v>
      </c>
    </row>
    <row r="165" spans="2:8" ht="15" x14ac:dyDescent="0.2">
      <c r="B165" s="12" t="s">
        <v>134</v>
      </c>
      <c r="C165" s="13">
        <v>85449</v>
      </c>
      <c r="D165" s="14" t="s">
        <v>73</v>
      </c>
      <c r="F165" s="150">
        <v>1582098</v>
      </c>
      <c r="G165" s="154" t="s">
        <v>232</v>
      </c>
      <c r="H165" s="14" t="s">
        <v>73</v>
      </c>
    </row>
    <row r="166" spans="2:8" ht="15" x14ac:dyDescent="0.2">
      <c r="B166" s="9" t="s">
        <v>231</v>
      </c>
      <c r="C166" s="10">
        <v>1336363</v>
      </c>
      <c r="D166" s="11" t="s">
        <v>75</v>
      </c>
      <c r="F166" s="149">
        <v>1634044</v>
      </c>
      <c r="G166" s="153" t="s">
        <v>233</v>
      </c>
      <c r="H166" s="11" t="s">
        <v>75</v>
      </c>
    </row>
    <row r="167" spans="2:8" ht="15" x14ac:dyDescent="0.2">
      <c r="B167" s="12" t="s">
        <v>169</v>
      </c>
      <c r="C167" s="13">
        <v>106503</v>
      </c>
      <c r="D167" s="14" t="s">
        <v>75</v>
      </c>
      <c r="F167" s="150">
        <v>1746016</v>
      </c>
      <c r="G167" s="154" t="s">
        <v>234</v>
      </c>
      <c r="H167" s="14" t="s">
        <v>73</v>
      </c>
    </row>
    <row r="168" spans="2:8" ht="15" x14ac:dyDescent="0.2">
      <c r="B168" s="9" t="s">
        <v>202</v>
      </c>
      <c r="C168" s="10">
        <v>123386</v>
      </c>
      <c r="D168" s="11" t="s">
        <v>75</v>
      </c>
      <c r="F168" s="149">
        <v>3547044</v>
      </c>
      <c r="G168" s="153" t="s">
        <v>235</v>
      </c>
      <c r="H168" s="11" t="s">
        <v>75</v>
      </c>
    </row>
    <row r="169" spans="2:8" ht="15" x14ac:dyDescent="0.2">
      <c r="B169" s="12" t="s">
        <v>190</v>
      </c>
      <c r="C169" s="13">
        <v>114261</v>
      </c>
      <c r="D169" s="14" t="s">
        <v>73</v>
      </c>
      <c r="F169" s="150">
        <v>7439921</v>
      </c>
      <c r="G169" s="154" t="s">
        <v>236</v>
      </c>
      <c r="H169" s="14" t="s">
        <v>73</v>
      </c>
    </row>
    <row r="170" spans="2:8" ht="15" x14ac:dyDescent="0.2">
      <c r="B170" s="9" t="s">
        <v>117</v>
      </c>
      <c r="C170" s="10">
        <v>75569</v>
      </c>
      <c r="D170" s="11" t="s">
        <v>75</v>
      </c>
      <c r="F170" s="149">
        <v>7439965</v>
      </c>
      <c r="G170" s="153" t="s">
        <v>237</v>
      </c>
      <c r="H170" s="11" t="s">
        <v>73</v>
      </c>
    </row>
    <row r="171" spans="2:8" ht="15" x14ac:dyDescent="0.2">
      <c r="B171" s="12" t="s">
        <v>166</v>
      </c>
      <c r="C171" s="13">
        <v>106423</v>
      </c>
      <c r="D171" s="14" t="s">
        <v>75</v>
      </c>
      <c r="F171" s="150">
        <v>7439976</v>
      </c>
      <c r="G171" s="154" t="s">
        <v>238</v>
      </c>
      <c r="H171" s="14" t="s">
        <v>73</v>
      </c>
    </row>
    <row r="172" spans="2:8" ht="15" x14ac:dyDescent="0.2">
      <c r="B172" s="9" t="s">
        <v>140</v>
      </c>
      <c r="C172" s="10">
        <v>91225</v>
      </c>
      <c r="D172" s="11" t="s">
        <v>75</v>
      </c>
      <c r="F172" s="149">
        <v>7440020</v>
      </c>
      <c r="G172" s="153" t="s">
        <v>239</v>
      </c>
      <c r="H172" s="11" t="s">
        <v>73</v>
      </c>
    </row>
    <row r="173" spans="2:8" ht="15" x14ac:dyDescent="0.2">
      <c r="B173" s="12" t="s">
        <v>170</v>
      </c>
      <c r="C173" s="13">
        <v>106514</v>
      </c>
      <c r="D173" s="14" t="s">
        <v>75</v>
      </c>
      <c r="F173" s="150">
        <v>7440360</v>
      </c>
      <c r="G173" s="154" t="s">
        <v>240</v>
      </c>
      <c r="H173" s="14" t="s">
        <v>73</v>
      </c>
    </row>
    <row r="174" spans="2:8" ht="15" x14ac:dyDescent="0.2">
      <c r="B174" s="9" t="s">
        <v>250</v>
      </c>
      <c r="C174" s="10">
        <v>7782492</v>
      </c>
      <c r="D174" s="11" t="s">
        <v>73</v>
      </c>
      <c r="F174" s="149">
        <v>7440382</v>
      </c>
      <c r="G174" s="153" t="s">
        <v>241</v>
      </c>
      <c r="H174" s="11" t="s">
        <v>73</v>
      </c>
    </row>
    <row r="175" spans="2:8" ht="15" x14ac:dyDescent="0.2">
      <c r="B175" s="12" t="s">
        <v>161</v>
      </c>
      <c r="C175" s="13">
        <v>100425</v>
      </c>
      <c r="D175" s="14" t="s">
        <v>75</v>
      </c>
      <c r="F175" s="150">
        <v>7440417</v>
      </c>
      <c r="G175" s="154" t="s">
        <v>242</v>
      </c>
      <c r="H175" s="14" t="s">
        <v>73</v>
      </c>
    </row>
    <row r="176" spans="2:8" ht="15" x14ac:dyDescent="0.2">
      <c r="B176" s="9" t="s">
        <v>152</v>
      </c>
      <c r="C176" s="10">
        <v>96093</v>
      </c>
      <c r="D176" s="11" t="s">
        <v>75</v>
      </c>
      <c r="F176" s="149">
        <v>7440439</v>
      </c>
      <c r="G176" s="153" t="s">
        <v>243</v>
      </c>
      <c r="H176" s="11" t="s">
        <v>73</v>
      </c>
    </row>
    <row r="177" spans="2:8" ht="15" x14ac:dyDescent="0.2">
      <c r="B177" s="12" t="s">
        <v>246</v>
      </c>
      <c r="C177" s="13">
        <v>7550450</v>
      </c>
      <c r="D177" s="14" t="s">
        <v>73</v>
      </c>
      <c r="F177" s="150">
        <v>7440473</v>
      </c>
      <c r="G177" s="154" t="s">
        <v>244</v>
      </c>
      <c r="H177" s="14" t="s">
        <v>73</v>
      </c>
    </row>
    <row r="178" spans="2:8" ht="15" x14ac:dyDescent="0.2">
      <c r="B178" s="9" t="s">
        <v>1</v>
      </c>
      <c r="C178" s="10">
        <v>108883</v>
      </c>
      <c r="D178" s="11" t="s">
        <v>75</v>
      </c>
      <c r="F178" s="149">
        <v>7440484</v>
      </c>
      <c r="G178" s="153" t="s">
        <v>245</v>
      </c>
      <c r="H178" s="11" t="s">
        <v>73</v>
      </c>
    </row>
    <row r="179" spans="2:8" ht="15" x14ac:dyDescent="0.2">
      <c r="B179" s="12" t="s">
        <v>253</v>
      </c>
      <c r="C179" s="13">
        <v>8001352</v>
      </c>
      <c r="D179" s="14" t="s">
        <v>73</v>
      </c>
      <c r="F179" s="150">
        <v>7550450</v>
      </c>
      <c r="G179" s="154" t="s">
        <v>246</v>
      </c>
      <c r="H179" s="14" t="s">
        <v>73</v>
      </c>
    </row>
    <row r="180" spans="2:8" ht="15" x14ac:dyDescent="0.2">
      <c r="B180" s="9" t="s">
        <v>124</v>
      </c>
      <c r="C180" s="10">
        <v>79016</v>
      </c>
      <c r="D180" s="11" t="s">
        <v>75</v>
      </c>
      <c r="F180" s="149">
        <v>7647010</v>
      </c>
      <c r="G180" s="153" t="s">
        <v>247</v>
      </c>
      <c r="H180" s="11" t="s">
        <v>73</v>
      </c>
    </row>
    <row r="181" spans="2:8" ht="15" x14ac:dyDescent="0.2">
      <c r="B181" s="12" t="s">
        <v>198</v>
      </c>
      <c r="C181" s="13">
        <v>121448</v>
      </c>
      <c r="D181" s="14" t="s">
        <v>75</v>
      </c>
      <c r="F181" s="150">
        <v>7664393</v>
      </c>
      <c r="G181" s="154" t="s">
        <v>248</v>
      </c>
      <c r="H181" s="14" t="s">
        <v>73</v>
      </c>
    </row>
    <row r="182" spans="2:8" ht="15" x14ac:dyDescent="0.2">
      <c r="B182" s="9" t="s">
        <v>232</v>
      </c>
      <c r="C182" s="10">
        <v>1582098</v>
      </c>
      <c r="D182" s="11" t="s">
        <v>73</v>
      </c>
      <c r="F182" s="149">
        <v>7723140</v>
      </c>
      <c r="G182" s="153" t="s">
        <v>249</v>
      </c>
      <c r="H182" s="11" t="s">
        <v>73</v>
      </c>
    </row>
    <row r="183" spans="2:8" ht="15" x14ac:dyDescent="0.2">
      <c r="B183" s="12" t="s">
        <v>181</v>
      </c>
      <c r="C183" s="13">
        <v>108054</v>
      </c>
      <c r="D183" s="14" t="s">
        <v>75</v>
      </c>
      <c r="F183" s="150">
        <v>7782492</v>
      </c>
      <c r="G183" s="154" t="s">
        <v>250</v>
      </c>
      <c r="H183" s="14" t="s">
        <v>73</v>
      </c>
    </row>
    <row r="184" spans="2:8" ht="15" x14ac:dyDescent="0.2">
      <c r="B184" s="9" t="s">
        <v>222</v>
      </c>
      <c r="C184" s="10">
        <v>593602</v>
      </c>
      <c r="D184" s="11" t="s">
        <v>75</v>
      </c>
      <c r="F184" s="149">
        <v>7782505</v>
      </c>
      <c r="G184" s="153" t="s">
        <v>251</v>
      </c>
      <c r="H184" s="11" t="s">
        <v>73</v>
      </c>
    </row>
    <row r="185" spans="2:8" ht="15" x14ac:dyDescent="0.2">
      <c r="B185" s="12" t="s">
        <v>106</v>
      </c>
      <c r="C185" s="13">
        <v>75014</v>
      </c>
      <c r="D185" s="14" t="s">
        <v>75</v>
      </c>
      <c r="F185" s="150">
        <v>7803512</v>
      </c>
      <c r="G185" s="154" t="s">
        <v>252</v>
      </c>
      <c r="H185" s="14" t="s">
        <v>73</v>
      </c>
    </row>
    <row r="186" spans="2:8" ht="15.75" thickBot="1" x14ac:dyDescent="0.25">
      <c r="B186" s="15" t="s">
        <v>229</v>
      </c>
      <c r="C186" s="16">
        <v>1330207</v>
      </c>
      <c r="D186" s="17" t="s">
        <v>75</v>
      </c>
      <c r="F186" s="156">
        <v>8001352</v>
      </c>
      <c r="G186" s="157" t="s">
        <v>253</v>
      </c>
      <c r="H186" s="17" t="s">
        <v>73</v>
      </c>
    </row>
    <row r="187" spans="2:8" ht="13.5" thickTop="1" x14ac:dyDescent="0.2"/>
    <row r="192" spans="2:8" x14ac:dyDescent="0.2">
      <c r="C192" s="2"/>
      <c r="D192" s="2"/>
    </row>
    <row r="193" spans="3:4" x14ac:dyDescent="0.2">
      <c r="C193" s="2"/>
      <c r="D193" s="2"/>
    </row>
    <row r="194" spans="3:4" x14ac:dyDescent="0.2">
      <c r="C194" s="2"/>
      <c r="D194" s="2"/>
    </row>
    <row r="195" spans="3:4" x14ac:dyDescent="0.2">
      <c r="C195" s="2"/>
      <c r="D195" s="2"/>
    </row>
    <row r="196" spans="3:4" x14ac:dyDescent="0.2">
      <c r="C196" s="2"/>
      <c r="D196" s="2"/>
    </row>
    <row r="197" spans="3:4" x14ac:dyDescent="0.2">
      <c r="C197" s="2"/>
      <c r="D197" s="2"/>
    </row>
    <row r="198" spans="3:4" x14ac:dyDescent="0.2">
      <c r="C198" s="2"/>
      <c r="D198" s="2"/>
    </row>
    <row r="199" spans="3:4" x14ac:dyDescent="0.2">
      <c r="C199" s="2"/>
      <c r="D199" s="2"/>
    </row>
    <row r="200" spans="3:4" x14ac:dyDescent="0.2">
      <c r="C200" s="2"/>
      <c r="D200" s="2"/>
    </row>
    <row r="201" spans="3:4" x14ac:dyDescent="0.2">
      <c r="C201" s="2"/>
      <c r="D201" s="2"/>
    </row>
    <row r="202" spans="3:4" x14ac:dyDescent="0.2">
      <c r="C202" s="2"/>
      <c r="D202" s="2"/>
    </row>
    <row r="203" spans="3:4" x14ac:dyDescent="0.2">
      <c r="C203" s="2"/>
      <c r="D203" s="2"/>
    </row>
    <row r="204" spans="3:4" x14ac:dyDescent="0.2">
      <c r="C204" s="2"/>
      <c r="D204" s="2"/>
    </row>
    <row r="205" spans="3:4" x14ac:dyDescent="0.2">
      <c r="C205" s="2"/>
      <c r="D205" s="2"/>
    </row>
    <row r="206" spans="3:4" x14ac:dyDescent="0.2">
      <c r="C206" s="2"/>
      <c r="D206" s="2"/>
    </row>
    <row r="207" spans="3:4" x14ac:dyDescent="0.2">
      <c r="C207" s="2"/>
      <c r="D207" s="2"/>
    </row>
    <row r="208" spans="3:4" x14ac:dyDescent="0.2">
      <c r="C208" s="2"/>
      <c r="D208" s="2"/>
    </row>
    <row r="209" spans="3:4" x14ac:dyDescent="0.2">
      <c r="C209" s="2"/>
      <c r="D209" s="2"/>
    </row>
    <row r="210" spans="3:4" x14ac:dyDescent="0.2">
      <c r="C210" s="2"/>
      <c r="D210" s="2"/>
    </row>
    <row r="211" spans="3:4" x14ac:dyDescent="0.2">
      <c r="C211" s="2"/>
      <c r="D211" s="2"/>
    </row>
    <row r="212" spans="3:4" x14ac:dyDescent="0.2">
      <c r="C212" s="2"/>
      <c r="D212" s="2"/>
    </row>
    <row r="213" spans="3:4" x14ac:dyDescent="0.2">
      <c r="C213" s="2"/>
      <c r="D213" s="2"/>
    </row>
    <row r="214" spans="3:4" x14ac:dyDescent="0.2">
      <c r="C214" s="2"/>
      <c r="D214" s="2"/>
    </row>
    <row r="215" spans="3:4" x14ac:dyDescent="0.2">
      <c r="C215" s="2"/>
      <c r="D215" s="2"/>
    </row>
    <row r="216" spans="3:4" x14ac:dyDescent="0.2">
      <c r="C216" s="2"/>
      <c r="D216" s="2"/>
    </row>
    <row r="217" spans="3:4" x14ac:dyDescent="0.2">
      <c r="C217" s="2"/>
      <c r="D217" s="2"/>
    </row>
    <row r="218" spans="3:4" x14ac:dyDescent="0.2">
      <c r="C218" s="2"/>
      <c r="D218" s="2"/>
    </row>
    <row r="219" spans="3:4" x14ac:dyDescent="0.2">
      <c r="C219" s="2"/>
      <c r="D219" s="2"/>
    </row>
    <row r="220" spans="3:4" x14ac:dyDescent="0.2">
      <c r="C220" s="2"/>
      <c r="D220" s="2"/>
    </row>
    <row r="221" spans="3:4" x14ac:dyDescent="0.2">
      <c r="C221" s="2"/>
      <c r="D221" s="2"/>
    </row>
    <row r="222" spans="3:4" x14ac:dyDescent="0.2">
      <c r="C222" s="2"/>
      <c r="D222" s="2"/>
    </row>
    <row r="223" spans="3:4" x14ac:dyDescent="0.2">
      <c r="C223" s="2"/>
      <c r="D223" s="2"/>
    </row>
    <row r="224" spans="3:4" x14ac:dyDescent="0.2">
      <c r="C224" s="2"/>
      <c r="D224" s="2"/>
    </row>
    <row r="225" spans="3:4" x14ac:dyDescent="0.2">
      <c r="C225" s="2"/>
      <c r="D225" s="2"/>
    </row>
    <row r="226" spans="3:4" x14ac:dyDescent="0.2">
      <c r="C226" s="2"/>
      <c r="D226" s="2"/>
    </row>
    <row r="227" spans="3:4" x14ac:dyDescent="0.2">
      <c r="C227" s="2"/>
      <c r="D227" s="2"/>
    </row>
    <row r="228" spans="3:4" x14ac:dyDescent="0.2">
      <c r="C228" s="2"/>
      <c r="D228" s="2"/>
    </row>
    <row r="229" spans="3:4" x14ac:dyDescent="0.2">
      <c r="C229" s="2"/>
      <c r="D229" s="2"/>
    </row>
    <row r="230" spans="3:4" x14ac:dyDescent="0.2">
      <c r="C230" s="2"/>
      <c r="D230" s="2"/>
    </row>
    <row r="231" spans="3:4" x14ac:dyDescent="0.2">
      <c r="C231" s="2"/>
      <c r="D231" s="2"/>
    </row>
    <row r="232" spans="3:4" x14ac:dyDescent="0.2">
      <c r="C232" s="2"/>
      <c r="D232" s="2"/>
    </row>
    <row r="233" spans="3:4" x14ac:dyDescent="0.2">
      <c r="C233" s="2"/>
      <c r="D233" s="2"/>
    </row>
    <row r="234" spans="3:4" x14ac:dyDescent="0.2">
      <c r="C234" s="2"/>
      <c r="D234" s="2"/>
    </row>
    <row r="235" spans="3:4" x14ac:dyDescent="0.2">
      <c r="C235" s="2"/>
      <c r="D235" s="2"/>
    </row>
    <row r="236" spans="3:4" x14ac:dyDescent="0.2">
      <c r="C236" s="2"/>
      <c r="D236" s="2"/>
    </row>
    <row r="237" spans="3:4" x14ac:dyDescent="0.2">
      <c r="C237" s="2"/>
      <c r="D237" s="2"/>
    </row>
    <row r="238" spans="3:4" x14ac:dyDescent="0.2">
      <c r="C238" s="2"/>
      <c r="D238" s="2"/>
    </row>
    <row r="239" spans="3:4" x14ac:dyDescent="0.2">
      <c r="C239" s="2"/>
      <c r="D239" s="2"/>
    </row>
    <row r="240" spans="3:4" x14ac:dyDescent="0.2">
      <c r="C240" s="2"/>
      <c r="D240" s="2"/>
    </row>
    <row r="241" spans="3:4" x14ac:dyDescent="0.2">
      <c r="C241" s="2"/>
      <c r="D241" s="2"/>
    </row>
    <row r="242" spans="3:4" x14ac:dyDescent="0.2">
      <c r="C242" s="2"/>
      <c r="D242" s="2"/>
    </row>
    <row r="243" spans="3:4" x14ac:dyDescent="0.2">
      <c r="C243" s="2"/>
      <c r="D243" s="2"/>
    </row>
    <row r="244" spans="3:4" x14ac:dyDescent="0.2">
      <c r="C244" s="2"/>
      <c r="D244" s="2"/>
    </row>
    <row r="245" spans="3:4" x14ac:dyDescent="0.2">
      <c r="C245" s="2"/>
      <c r="D245" s="2"/>
    </row>
    <row r="246" spans="3:4" x14ac:dyDescent="0.2">
      <c r="C246" s="2"/>
      <c r="D246" s="2"/>
    </row>
    <row r="247" spans="3:4" x14ac:dyDescent="0.2">
      <c r="C247" s="2"/>
      <c r="D247" s="2"/>
    </row>
    <row r="248" spans="3:4" x14ac:dyDescent="0.2">
      <c r="C248" s="2"/>
      <c r="D248" s="2"/>
    </row>
    <row r="249" spans="3:4" x14ac:dyDescent="0.2">
      <c r="C249" s="2"/>
      <c r="D249" s="2"/>
    </row>
    <row r="250" spans="3:4" x14ac:dyDescent="0.2">
      <c r="C250" s="2"/>
      <c r="D250" s="2"/>
    </row>
    <row r="251" spans="3:4" x14ac:dyDescent="0.2">
      <c r="C251" s="2"/>
      <c r="D251" s="2"/>
    </row>
    <row r="252" spans="3:4" x14ac:dyDescent="0.2">
      <c r="C252" s="2"/>
      <c r="D252" s="2"/>
    </row>
    <row r="253" spans="3:4" x14ac:dyDescent="0.2">
      <c r="C253" s="2"/>
      <c r="D253" s="2"/>
    </row>
    <row r="254" spans="3:4" x14ac:dyDescent="0.2">
      <c r="C254" s="2"/>
      <c r="D254" s="2"/>
    </row>
    <row r="255" spans="3:4" x14ac:dyDescent="0.2">
      <c r="C255" s="2"/>
      <c r="D255" s="2"/>
    </row>
    <row r="256" spans="3:4" x14ac:dyDescent="0.2">
      <c r="C256" s="2"/>
      <c r="D256" s="2"/>
    </row>
    <row r="257" spans="3:4" x14ac:dyDescent="0.2">
      <c r="C257" s="2"/>
      <c r="D257" s="2"/>
    </row>
    <row r="258" spans="3:4" x14ac:dyDescent="0.2">
      <c r="C258" s="2"/>
      <c r="D258" s="2"/>
    </row>
    <row r="259" spans="3:4" x14ac:dyDescent="0.2">
      <c r="C259" s="2"/>
      <c r="D259" s="2"/>
    </row>
    <row r="260" spans="3:4" x14ac:dyDescent="0.2">
      <c r="C260" s="2"/>
      <c r="D260" s="2"/>
    </row>
    <row r="261" spans="3:4" x14ac:dyDescent="0.2">
      <c r="C261" s="2"/>
      <c r="D261" s="2"/>
    </row>
    <row r="262" spans="3:4" x14ac:dyDescent="0.2">
      <c r="C262" s="2"/>
      <c r="D262" s="2"/>
    </row>
    <row r="263" spans="3:4" x14ac:dyDescent="0.2">
      <c r="C263" s="2"/>
      <c r="D263" s="2"/>
    </row>
    <row r="264" spans="3:4" x14ac:dyDescent="0.2">
      <c r="C264" s="2"/>
      <c r="D264" s="2"/>
    </row>
    <row r="265" spans="3:4" x14ac:dyDescent="0.2">
      <c r="C265" s="2"/>
      <c r="D265" s="2"/>
    </row>
    <row r="266" spans="3:4" x14ac:dyDescent="0.2">
      <c r="C266" s="2"/>
      <c r="D266" s="2"/>
    </row>
    <row r="267" spans="3:4" x14ac:dyDescent="0.2">
      <c r="C267" s="2"/>
      <c r="D267" s="2"/>
    </row>
    <row r="268" spans="3:4" x14ac:dyDescent="0.2">
      <c r="C268" s="2"/>
      <c r="D268" s="2"/>
    </row>
    <row r="269" spans="3:4" x14ac:dyDescent="0.2">
      <c r="C269" s="2"/>
      <c r="D269" s="2"/>
    </row>
    <row r="270" spans="3:4" x14ac:dyDescent="0.2">
      <c r="C270" s="2"/>
      <c r="D270" s="2"/>
    </row>
    <row r="271" spans="3:4" x14ac:dyDescent="0.2">
      <c r="C271" s="2"/>
      <c r="D271" s="2"/>
    </row>
    <row r="272" spans="3:4" x14ac:dyDescent="0.2">
      <c r="C272" s="2"/>
      <c r="D272" s="2"/>
    </row>
    <row r="273" spans="3:4" x14ac:dyDescent="0.2">
      <c r="C273" s="2"/>
      <c r="D273" s="2"/>
    </row>
    <row r="274" spans="3:4" x14ac:dyDescent="0.2">
      <c r="C274" s="2"/>
      <c r="D274" s="2"/>
    </row>
    <row r="275" spans="3:4" x14ac:dyDescent="0.2">
      <c r="C275" s="2"/>
      <c r="D275" s="2"/>
    </row>
    <row r="276" spans="3:4" x14ac:dyDescent="0.2">
      <c r="C276" s="2"/>
      <c r="D276" s="2"/>
    </row>
    <row r="277" spans="3:4" x14ac:dyDescent="0.2">
      <c r="C277" s="2"/>
      <c r="D277" s="2"/>
    </row>
    <row r="278" spans="3:4" x14ac:dyDescent="0.2">
      <c r="C278" s="2"/>
      <c r="D278" s="2"/>
    </row>
    <row r="279" spans="3:4" x14ac:dyDescent="0.2">
      <c r="C279" s="2"/>
      <c r="D279" s="2"/>
    </row>
    <row r="280" spans="3:4" x14ac:dyDescent="0.2">
      <c r="C280" s="2"/>
      <c r="D280" s="2"/>
    </row>
    <row r="281" spans="3:4" x14ac:dyDescent="0.2">
      <c r="C281" s="2"/>
      <c r="D281" s="2"/>
    </row>
    <row r="282" spans="3:4" x14ac:dyDescent="0.2">
      <c r="C282" s="2"/>
      <c r="D282" s="2"/>
    </row>
    <row r="283" spans="3:4" x14ac:dyDescent="0.2">
      <c r="C283" s="2"/>
      <c r="D283" s="2"/>
    </row>
    <row r="284" spans="3:4" x14ac:dyDescent="0.2">
      <c r="C284" s="2"/>
      <c r="D284" s="2"/>
    </row>
    <row r="285" spans="3:4" x14ac:dyDescent="0.2">
      <c r="C285" s="2"/>
      <c r="D285" s="2"/>
    </row>
    <row r="286" spans="3:4" x14ac:dyDescent="0.2">
      <c r="C286" s="2"/>
      <c r="D286" s="2"/>
    </row>
    <row r="287" spans="3:4" x14ac:dyDescent="0.2">
      <c r="C287" s="2"/>
      <c r="D287" s="2"/>
    </row>
    <row r="288" spans="3:4" x14ac:dyDescent="0.2">
      <c r="C288" s="2"/>
      <c r="D288" s="2"/>
    </row>
    <row r="289" spans="3:4" x14ac:dyDescent="0.2">
      <c r="C289" s="2"/>
      <c r="D289" s="2"/>
    </row>
    <row r="290" spans="3:4" x14ac:dyDescent="0.2">
      <c r="C290" s="2"/>
      <c r="D290" s="2"/>
    </row>
    <row r="291" spans="3:4" x14ac:dyDescent="0.2">
      <c r="C291" s="2"/>
      <c r="D291" s="2"/>
    </row>
    <row r="292" spans="3:4" x14ac:dyDescent="0.2">
      <c r="C292" s="2"/>
      <c r="D292" s="2"/>
    </row>
    <row r="293" spans="3:4" x14ac:dyDescent="0.2">
      <c r="C293" s="2"/>
      <c r="D293" s="2"/>
    </row>
    <row r="294" spans="3:4" x14ac:dyDescent="0.2">
      <c r="C294" s="2"/>
      <c r="D294" s="2"/>
    </row>
    <row r="295" spans="3:4" x14ac:dyDescent="0.2">
      <c r="C295" s="2"/>
      <c r="D295" s="2"/>
    </row>
    <row r="296" spans="3:4" x14ac:dyDescent="0.2">
      <c r="C296" s="2"/>
      <c r="D296" s="2"/>
    </row>
    <row r="297" spans="3:4" x14ac:dyDescent="0.2">
      <c r="C297" s="2"/>
      <c r="D297" s="2"/>
    </row>
    <row r="298" spans="3:4" x14ac:dyDescent="0.2">
      <c r="C298" s="2"/>
      <c r="D298" s="2"/>
    </row>
    <row r="299" spans="3:4" x14ac:dyDescent="0.2">
      <c r="C299" s="2"/>
      <c r="D299" s="2"/>
    </row>
    <row r="300" spans="3:4" x14ac:dyDescent="0.2">
      <c r="C300" s="2"/>
      <c r="D300" s="2"/>
    </row>
    <row r="301" spans="3:4" x14ac:dyDescent="0.2">
      <c r="C301" s="2"/>
      <c r="D301" s="2"/>
    </row>
    <row r="302" spans="3:4" x14ac:dyDescent="0.2">
      <c r="C302" s="2"/>
      <c r="D302" s="2"/>
    </row>
    <row r="303" spans="3:4" x14ac:dyDescent="0.2">
      <c r="C303" s="2"/>
      <c r="D303" s="2"/>
    </row>
    <row r="304" spans="3:4" x14ac:dyDescent="0.2">
      <c r="C304" s="2"/>
      <c r="D304" s="2"/>
    </row>
    <row r="305" spans="3:4" x14ac:dyDescent="0.2">
      <c r="C305" s="2"/>
      <c r="D305" s="2"/>
    </row>
    <row r="306" spans="3:4" x14ac:dyDescent="0.2">
      <c r="C306" s="2"/>
      <c r="D306" s="2"/>
    </row>
    <row r="307" spans="3:4" x14ac:dyDescent="0.2">
      <c r="C307" s="2"/>
      <c r="D307" s="2"/>
    </row>
    <row r="308" spans="3:4" x14ac:dyDescent="0.2">
      <c r="C308" s="2"/>
      <c r="D308" s="2"/>
    </row>
    <row r="309" spans="3:4" x14ac:dyDescent="0.2">
      <c r="C309" s="2"/>
      <c r="D309" s="2"/>
    </row>
    <row r="310" spans="3:4" x14ac:dyDescent="0.2">
      <c r="C310" s="2"/>
      <c r="D310" s="2"/>
    </row>
    <row r="311" spans="3:4" x14ac:dyDescent="0.2">
      <c r="C311" s="2"/>
      <c r="D311" s="2"/>
    </row>
    <row r="312" spans="3:4" x14ac:dyDescent="0.2">
      <c r="C312" s="2"/>
      <c r="D312" s="2"/>
    </row>
    <row r="313" spans="3:4" x14ac:dyDescent="0.2">
      <c r="C313" s="2"/>
      <c r="D313" s="2"/>
    </row>
    <row r="314" spans="3:4" x14ac:dyDescent="0.2">
      <c r="C314" s="2"/>
      <c r="D314" s="2"/>
    </row>
    <row r="315" spans="3:4" x14ac:dyDescent="0.2">
      <c r="C315" s="2"/>
      <c r="D315" s="2"/>
    </row>
    <row r="316" spans="3:4" x14ac:dyDescent="0.2">
      <c r="C316" s="2"/>
      <c r="D316" s="2"/>
    </row>
    <row r="317" spans="3:4" x14ac:dyDescent="0.2">
      <c r="C317" s="2"/>
      <c r="D317" s="2"/>
    </row>
    <row r="318" spans="3:4" x14ac:dyDescent="0.2">
      <c r="C318" s="2"/>
      <c r="D318" s="2"/>
    </row>
    <row r="319" spans="3:4" x14ac:dyDescent="0.2">
      <c r="C319" s="2"/>
      <c r="D319" s="2"/>
    </row>
    <row r="320" spans="3:4" x14ac:dyDescent="0.2">
      <c r="C320" s="2"/>
      <c r="D320" s="2"/>
    </row>
    <row r="321" spans="3:4" x14ac:dyDescent="0.2">
      <c r="C321" s="2"/>
      <c r="D321" s="2"/>
    </row>
    <row r="322" spans="3:4" x14ac:dyDescent="0.2">
      <c r="C322" s="2"/>
      <c r="D322" s="2"/>
    </row>
    <row r="323" spans="3:4" x14ac:dyDescent="0.2">
      <c r="C323" s="2"/>
      <c r="D323" s="2"/>
    </row>
    <row r="324" spans="3:4" x14ac:dyDescent="0.2">
      <c r="C324" s="2"/>
      <c r="D324" s="2"/>
    </row>
    <row r="325" spans="3:4" x14ac:dyDescent="0.2">
      <c r="C325" s="2"/>
      <c r="D325" s="2"/>
    </row>
    <row r="326" spans="3:4" x14ac:dyDescent="0.2">
      <c r="C326" s="2"/>
      <c r="D326" s="2"/>
    </row>
    <row r="327" spans="3:4" x14ac:dyDescent="0.2">
      <c r="C327" s="2"/>
      <c r="D327" s="2"/>
    </row>
    <row r="328" spans="3:4" x14ac:dyDescent="0.2">
      <c r="C328" s="2"/>
      <c r="D328" s="2"/>
    </row>
    <row r="329" spans="3:4" x14ac:dyDescent="0.2">
      <c r="C329" s="2"/>
      <c r="D329" s="2"/>
    </row>
    <row r="330" spans="3:4" x14ac:dyDescent="0.2">
      <c r="C330" s="2"/>
      <c r="D330" s="2"/>
    </row>
    <row r="331" spans="3:4" x14ac:dyDescent="0.2">
      <c r="C331" s="2"/>
      <c r="D331" s="2"/>
    </row>
    <row r="332" spans="3:4" x14ac:dyDescent="0.2">
      <c r="C332" s="2"/>
      <c r="D332" s="2"/>
    </row>
    <row r="333" spans="3:4" x14ac:dyDescent="0.2">
      <c r="C333" s="2"/>
      <c r="D333" s="2"/>
    </row>
    <row r="334" spans="3:4" x14ac:dyDescent="0.2">
      <c r="C334" s="2"/>
      <c r="D334" s="2"/>
    </row>
    <row r="335" spans="3:4" x14ac:dyDescent="0.2">
      <c r="C335" s="2"/>
      <c r="D335" s="2"/>
    </row>
    <row r="336" spans="3:4" x14ac:dyDescent="0.2">
      <c r="C336" s="2"/>
      <c r="D336" s="2"/>
    </row>
    <row r="337" spans="3:4" x14ac:dyDescent="0.2">
      <c r="C337" s="2"/>
      <c r="D337" s="2"/>
    </row>
    <row r="338" spans="3:4" x14ac:dyDescent="0.2">
      <c r="C338" s="2"/>
      <c r="D338" s="2"/>
    </row>
    <row r="339" spans="3:4" x14ac:dyDescent="0.2">
      <c r="C339" s="2"/>
      <c r="D339" s="2"/>
    </row>
    <row r="340" spans="3:4" x14ac:dyDescent="0.2">
      <c r="C340" s="2"/>
      <c r="D340" s="2"/>
    </row>
    <row r="341" spans="3:4" x14ac:dyDescent="0.2">
      <c r="C341" s="2"/>
      <c r="D341" s="2"/>
    </row>
    <row r="342" spans="3:4" x14ac:dyDescent="0.2">
      <c r="C342" s="2"/>
      <c r="D342" s="2"/>
    </row>
    <row r="343" spans="3:4" x14ac:dyDescent="0.2">
      <c r="C343" s="2"/>
      <c r="D343" s="2"/>
    </row>
    <row r="344" spans="3:4" x14ac:dyDescent="0.2">
      <c r="C344" s="2"/>
      <c r="D344" s="2"/>
    </row>
    <row r="345" spans="3:4" x14ac:dyDescent="0.2">
      <c r="C345" s="2"/>
      <c r="D345" s="2"/>
    </row>
    <row r="346" spans="3:4" x14ac:dyDescent="0.2">
      <c r="C346" s="2"/>
      <c r="D346" s="2"/>
    </row>
    <row r="347" spans="3:4" x14ac:dyDescent="0.2">
      <c r="C347" s="2"/>
      <c r="D347" s="2"/>
    </row>
    <row r="348" spans="3:4" x14ac:dyDescent="0.2">
      <c r="C348" s="2"/>
      <c r="D348" s="2"/>
    </row>
    <row r="349" spans="3:4" x14ac:dyDescent="0.2">
      <c r="C349" s="2"/>
      <c r="D349" s="2"/>
    </row>
    <row r="350" spans="3:4" x14ac:dyDescent="0.2">
      <c r="C350" s="2"/>
      <c r="D350" s="2"/>
    </row>
    <row r="351" spans="3:4" x14ac:dyDescent="0.2">
      <c r="C351" s="2"/>
      <c r="D351" s="2"/>
    </row>
    <row r="352" spans="3:4" x14ac:dyDescent="0.2">
      <c r="C352" s="2"/>
      <c r="D352" s="2"/>
    </row>
    <row r="353" spans="3:4" x14ac:dyDescent="0.2">
      <c r="C353" s="2"/>
      <c r="D353" s="2"/>
    </row>
    <row r="354" spans="3:4" x14ac:dyDescent="0.2">
      <c r="C354" s="2"/>
      <c r="D354" s="2"/>
    </row>
    <row r="355" spans="3:4" x14ac:dyDescent="0.2">
      <c r="C355" s="2"/>
      <c r="D355" s="2"/>
    </row>
    <row r="356" spans="3:4" x14ac:dyDescent="0.2">
      <c r="C356" s="2"/>
      <c r="D356" s="2"/>
    </row>
    <row r="357" spans="3:4" x14ac:dyDescent="0.2">
      <c r="C357" s="2"/>
      <c r="D357" s="2"/>
    </row>
    <row r="358" spans="3:4" x14ac:dyDescent="0.2">
      <c r="C358" s="2"/>
      <c r="D358" s="2"/>
    </row>
    <row r="359" spans="3:4" x14ac:dyDescent="0.2">
      <c r="C359" s="2"/>
      <c r="D359" s="2"/>
    </row>
    <row r="360" spans="3:4" x14ac:dyDescent="0.2">
      <c r="C360" s="2"/>
      <c r="D360" s="2"/>
    </row>
    <row r="361" spans="3:4" x14ac:dyDescent="0.2">
      <c r="C361" s="2"/>
      <c r="D361" s="2"/>
    </row>
    <row r="362" spans="3:4" x14ac:dyDescent="0.2">
      <c r="C362" s="2"/>
      <c r="D362" s="2"/>
    </row>
    <row r="363" spans="3:4" x14ac:dyDescent="0.2">
      <c r="C363" s="2"/>
      <c r="D363" s="2"/>
    </row>
    <row r="364" spans="3:4" x14ac:dyDescent="0.2">
      <c r="C364" s="2"/>
      <c r="D364" s="2"/>
    </row>
    <row r="365" spans="3:4" x14ac:dyDescent="0.2">
      <c r="C365" s="2"/>
      <c r="D365" s="2"/>
    </row>
    <row r="366" spans="3:4" x14ac:dyDescent="0.2">
      <c r="C366" s="2"/>
      <c r="D366" s="2"/>
    </row>
    <row r="367" spans="3:4" x14ac:dyDescent="0.2">
      <c r="C367" s="2"/>
      <c r="D367" s="2"/>
    </row>
    <row r="368" spans="3:4" x14ac:dyDescent="0.2">
      <c r="C368" s="2"/>
      <c r="D368" s="2"/>
    </row>
    <row r="369" spans="3:4" x14ac:dyDescent="0.2">
      <c r="C369" s="2"/>
      <c r="D369" s="2"/>
    </row>
    <row r="370" spans="3:4" x14ac:dyDescent="0.2">
      <c r="C370" s="2"/>
      <c r="D370" s="2"/>
    </row>
    <row r="371" spans="3:4" x14ac:dyDescent="0.2">
      <c r="C371" s="2"/>
      <c r="D371" s="2"/>
    </row>
    <row r="372" spans="3:4" x14ac:dyDescent="0.2">
      <c r="C372" s="2"/>
      <c r="D372" s="2"/>
    </row>
    <row r="373" spans="3:4" x14ac:dyDescent="0.2">
      <c r="C373" s="2"/>
      <c r="D373" s="2"/>
    </row>
    <row r="374" spans="3:4" x14ac:dyDescent="0.2">
      <c r="C374" s="2"/>
      <c r="D374" s="2"/>
    </row>
    <row r="375" spans="3:4" x14ac:dyDescent="0.2">
      <c r="C375" s="2"/>
      <c r="D375" s="2"/>
    </row>
  </sheetData>
  <sheetProtection password="CCBE" sheet="1" objects="1" scenarios="1"/>
  <mergeCells count="3">
    <mergeCell ref="B2:D2"/>
    <mergeCell ref="B1:H1"/>
    <mergeCell ref="F2:H2"/>
  </mergeCells>
  <printOptions horizontalCentered="1"/>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rgb="FF00B050"/>
    <pageSetUpPr fitToPage="1"/>
  </sheetPr>
  <dimension ref="A1:B1067"/>
  <sheetViews>
    <sheetView workbookViewId="0"/>
  </sheetViews>
  <sheetFormatPr defaultRowHeight="15" x14ac:dyDescent="0.25"/>
  <cols>
    <col min="1" max="1" width="16.85546875" style="25" customWidth="1"/>
    <col min="2" max="2" width="103.42578125" style="25" customWidth="1"/>
    <col min="3" max="257" width="9.140625" style="25"/>
    <col min="258" max="258" width="103.42578125" style="25" customWidth="1"/>
    <col min="259" max="513" width="9.140625" style="25"/>
    <col min="514" max="514" width="103.42578125" style="25" customWidth="1"/>
    <col min="515" max="769" width="9.140625" style="25"/>
    <col min="770" max="770" width="103.42578125" style="25" customWidth="1"/>
    <col min="771" max="1025" width="9.140625" style="25"/>
    <col min="1026" max="1026" width="103.42578125" style="25" customWidth="1"/>
    <col min="1027" max="1281" width="9.140625" style="25"/>
    <col min="1282" max="1282" width="103.42578125" style="25" customWidth="1"/>
    <col min="1283" max="1537" width="9.140625" style="25"/>
    <col min="1538" max="1538" width="103.42578125" style="25" customWidth="1"/>
    <col min="1539" max="1793" width="9.140625" style="25"/>
    <col min="1794" max="1794" width="103.42578125" style="25" customWidth="1"/>
    <col min="1795" max="2049" width="9.140625" style="25"/>
    <col min="2050" max="2050" width="103.42578125" style="25" customWidth="1"/>
    <col min="2051" max="2305" width="9.140625" style="25"/>
    <col min="2306" max="2306" width="103.42578125" style="25" customWidth="1"/>
    <col min="2307" max="2561" width="9.140625" style="25"/>
    <col min="2562" max="2562" width="103.42578125" style="25" customWidth="1"/>
    <col min="2563" max="2817" width="9.140625" style="25"/>
    <col min="2818" max="2818" width="103.42578125" style="25" customWidth="1"/>
    <col min="2819" max="3073" width="9.140625" style="25"/>
    <col min="3074" max="3074" width="103.42578125" style="25" customWidth="1"/>
    <col min="3075" max="3329" width="9.140625" style="25"/>
    <col min="3330" max="3330" width="103.42578125" style="25" customWidth="1"/>
    <col min="3331" max="3585" width="9.140625" style="25"/>
    <col min="3586" max="3586" width="103.42578125" style="25" customWidth="1"/>
    <col min="3587" max="3841" width="9.140625" style="25"/>
    <col min="3842" max="3842" width="103.42578125" style="25" customWidth="1"/>
    <col min="3843" max="4097" width="9.140625" style="25"/>
    <col min="4098" max="4098" width="103.42578125" style="25" customWidth="1"/>
    <col min="4099" max="4353" width="9.140625" style="25"/>
    <col min="4354" max="4354" width="103.42578125" style="25" customWidth="1"/>
    <col min="4355" max="4609" width="9.140625" style="25"/>
    <col min="4610" max="4610" width="103.42578125" style="25" customWidth="1"/>
    <col min="4611" max="4865" width="9.140625" style="25"/>
    <col min="4866" max="4866" width="103.42578125" style="25" customWidth="1"/>
    <col min="4867" max="5121" width="9.140625" style="25"/>
    <col min="5122" max="5122" width="103.42578125" style="25" customWidth="1"/>
    <col min="5123" max="5377" width="9.140625" style="25"/>
    <col min="5378" max="5378" width="103.42578125" style="25" customWidth="1"/>
    <col min="5379" max="5633" width="9.140625" style="25"/>
    <col min="5634" max="5634" width="103.42578125" style="25" customWidth="1"/>
    <col min="5635" max="5889" width="9.140625" style="25"/>
    <col min="5890" max="5890" width="103.42578125" style="25" customWidth="1"/>
    <col min="5891" max="6145" width="9.140625" style="25"/>
    <col min="6146" max="6146" width="103.42578125" style="25" customWidth="1"/>
    <col min="6147" max="6401" width="9.140625" style="25"/>
    <col min="6402" max="6402" width="103.42578125" style="25" customWidth="1"/>
    <col min="6403" max="6657" width="9.140625" style="25"/>
    <col min="6658" max="6658" width="103.42578125" style="25" customWidth="1"/>
    <col min="6659" max="6913" width="9.140625" style="25"/>
    <col min="6914" max="6914" width="103.42578125" style="25" customWidth="1"/>
    <col min="6915" max="7169" width="9.140625" style="25"/>
    <col min="7170" max="7170" width="103.42578125" style="25" customWidth="1"/>
    <col min="7171" max="7425" width="9.140625" style="25"/>
    <col min="7426" max="7426" width="103.42578125" style="25" customWidth="1"/>
    <col min="7427" max="7681" width="9.140625" style="25"/>
    <col min="7682" max="7682" width="103.42578125" style="25" customWidth="1"/>
    <col min="7683" max="7937" width="9.140625" style="25"/>
    <col min="7938" max="7938" width="103.42578125" style="25" customWidth="1"/>
    <col min="7939" max="8193" width="9.140625" style="25"/>
    <col min="8194" max="8194" width="103.42578125" style="25" customWidth="1"/>
    <col min="8195" max="8449" width="9.140625" style="25"/>
    <col min="8450" max="8450" width="103.42578125" style="25" customWidth="1"/>
    <col min="8451" max="8705" width="9.140625" style="25"/>
    <col min="8706" max="8706" width="103.42578125" style="25" customWidth="1"/>
    <col min="8707" max="8961" width="9.140625" style="25"/>
    <col min="8962" max="8962" width="103.42578125" style="25" customWidth="1"/>
    <col min="8963" max="9217" width="9.140625" style="25"/>
    <col min="9218" max="9218" width="103.42578125" style="25" customWidth="1"/>
    <col min="9219" max="9473" width="9.140625" style="25"/>
    <col min="9474" max="9474" width="103.42578125" style="25" customWidth="1"/>
    <col min="9475" max="9729" width="9.140625" style="25"/>
    <col min="9730" max="9730" width="103.42578125" style="25" customWidth="1"/>
    <col min="9731" max="9985" width="9.140625" style="25"/>
    <col min="9986" max="9986" width="103.42578125" style="25" customWidth="1"/>
    <col min="9987" max="10241" width="9.140625" style="25"/>
    <col min="10242" max="10242" width="103.42578125" style="25" customWidth="1"/>
    <col min="10243" max="10497" width="9.140625" style="25"/>
    <col min="10498" max="10498" width="103.42578125" style="25" customWidth="1"/>
    <col min="10499" max="10753" width="9.140625" style="25"/>
    <col min="10754" max="10754" width="103.42578125" style="25" customWidth="1"/>
    <col min="10755" max="11009" width="9.140625" style="25"/>
    <col min="11010" max="11010" width="103.42578125" style="25" customWidth="1"/>
    <col min="11011" max="11265" width="9.140625" style="25"/>
    <col min="11266" max="11266" width="103.42578125" style="25" customWidth="1"/>
    <col min="11267" max="11521" width="9.140625" style="25"/>
    <col min="11522" max="11522" width="103.42578125" style="25" customWidth="1"/>
    <col min="11523" max="11777" width="9.140625" style="25"/>
    <col min="11778" max="11778" width="103.42578125" style="25" customWidth="1"/>
    <col min="11779" max="12033" width="9.140625" style="25"/>
    <col min="12034" max="12034" width="103.42578125" style="25" customWidth="1"/>
    <col min="12035" max="12289" width="9.140625" style="25"/>
    <col min="12290" max="12290" width="103.42578125" style="25" customWidth="1"/>
    <col min="12291" max="12545" width="9.140625" style="25"/>
    <col min="12546" max="12546" width="103.42578125" style="25" customWidth="1"/>
    <col min="12547" max="12801" width="9.140625" style="25"/>
    <col min="12802" max="12802" width="103.42578125" style="25" customWidth="1"/>
    <col min="12803" max="13057" width="9.140625" style="25"/>
    <col min="13058" max="13058" width="103.42578125" style="25" customWidth="1"/>
    <col min="13059" max="13313" width="9.140625" style="25"/>
    <col min="13314" max="13314" width="103.42578125" style="25" customWidth="1"/>
    <col min="13315" max="13569" width="9.140625" style="25"/>
    <col min="13570" max="13570" width="103.42578125" style="25" customWidth="1"/>
    <col min="13571" max="13825" width="9.140625" style="25"/>
    <col min="13826" max="13826" width="103.42578125" style="25" customWidth="1"/>
    <col min="13827" max="14081" width="9.140625" style="25"/>
    <col min="14082" max="14082" width="103.42578125" style="25" customWidth="1"/>
    <col min="14083" max="14337" width="9.140625" style="25"/>
    <col min="14338" max="14338" width="103.42578125" style="25" customWidth="1"/>
    <col min="14339" max="14593" width="9.140625" style="25"/>
    <col min="14594" max="14594" width="103.42578125" style="25" customWidth="1"/>
    <col min="14595" max="14849" width="9.140625" style="25"/>
    <col min="14850" max="14850" width="103.42578125" style="25" customWidth="1"/>
    <col min="14851" max="15105" width="9.140625" style="25"/>
    <col min="15106" max="15106" width="103.42578125" style="25" customWidth="1"/>
    <col min="15107" max="15361" width="9.140625" style="25"/>
    <col min="15362" max="15362" width="103.42578125" style="25" customWidth="1"/>
    <col min="15363" max="15617" width="9.140625" style="25"/>
    <col min="15618" max="15618" width="103.42578125" style="25" customWidth="1"/>
    <col min="15619" max="15873" width="9.140625" style="25"/>
    <col min="15874" max="15874" width="103.42578125" style="25" customWidth="1"/>
    <col min="15875" max="16129" width="9.140625" style="25"/>
    <col min="16130" max="16130" width="103.42578125" style="25" customWidth="1"/>
    <col min="16131" max="16384" width="9.140625" style="25"/>
  </cols>
  <sheetData>
    <row r="1" spans="1:2" s="186" customFormat="1" ht="38.25" customHeight="1" thickBot="1" x14ac:dyDescent="0.25">
      <c r="A1" s="184" t="s">
        <v>2368</v>
      </c>
      <c r="B1" s="185" t="s">
        <v>2369</v>
      </c>
    </row>
    <row r="2" spans="1:2" x14ac:dyDescent="0.25">
      <c r="A2" s="187"/>
      <c r="B2" s="187"/>
    </row>
    <row r="3" spans="1:2" x14ac:dyDescent="0.25">
      <c r="A3" s="187">
        <v>111110</v>
      </c>
      <c r="B3" s="187" t="s">
        <v>299</v>
      </c>
    </row>
    <row r="4" spans="1:2" x14ac:dyDescent="0.25">
      <c r="A4" s="187">
        <v>111120</v>
      </c>
      <c r="B4" s="187" t="s">
        <v>300</v>
      </c>
    </row>
    <row r="5" spans="1:2" x14ac:dyDescent="0.25">
      <c r="A5" s="187">
        <v>111130</v>
      </c>
      <c r="B5" s="187" t="s">
        <v>301</v>
      </c>
    </row>
    <row r="6" spans="1:2" x14ac:dyDescent="0.25">
      <c r="A6" s="187">
        <v>111140</v>
      </c>
      <c r="B6" s="187" t="s">
        <v>302</v>
      </c>
    </row>
    <row r="7" spans="1:2" x14ac:dyDescent="0.25">
      <c r="A7" s="187">
        <v>111150</v>
      </c>
      <c r="B7" s="187" t="s">
        <v>303</v>
      </c>
    </row>
    <row r="8" spans="1:2" x14ac:dyDescent="0.25">
      <c r="A8" s="187">
        <v>111160</v>
      </c>
      <c r="B8" s="187" t="s">
        <v>304</v>
      </c>
    </row>
    <row r="9" spans="1:2" x14ac:dyDescent="0.25">
      <c r="A9" s="187">
        <v>111191</v>
      </c>
      <c r="B9" s="187" t="s">
        <v>305</v>
      </c>
    </row>
    <row r="10" spans="1:2" x14ac:dyDescent="0.25">
      <c r="A10" s="187">
        <v>111199</v>
      </c>
      <c r="B10" s="187" t="s">
        <v>306</v>
      </c>
    </row>
    <row r="11" spans="1:2" x14ac:dyDescent="0.25">
      <c r="A11" s="187">
        <v>111211</v>
      </c>
      <c r="B11" s="187" t="s">
        <v>307</v>
      </c>
    </row>
    <row r="12" spans="1:2" x14ac:dyDescent="0.25">
      <c r="A12" s="187">
        <v>111219</v>
      </c>
      <c r="B12" s="187" t="s">
        <v>308</v>
      </c>
    </row>
    <row r="13" spans="1:2" x14ac:dyDescent="0.25">
      <c r="A13" s="187">
        <v>111310</v>
      </c>
      <c r="B13" s="187" t="s">
        <v>309</v>
      </c>
    </row>
    <row r="14" spans="1:2" x14ac:dyDescent="0.25">
      <c r="A14" s="187">
        <v>111320</v>
      </c>
      <c r="B14" s="187" t="s">
        <v>310</v>
      </c>
    </row>
    <row r="15" spans="1:2" x14ac:dyDescent="0.25">
      <c r="A15" s="187">
        <v>111331</v>
      </c>
      <c r="B15" s="187" t="s">
        <v>311</v>
      </c>
    </row>
    <row r="16" spans="1:2" x14ac:dyDescent="0.25">
      <c r="A16" s="187">
        <v>111332</v>
      </c>
      <c r="B16" s="187" t="s">
        <v>312</v>
      </c>
    </row>
    <row r="17" spans="1:2" x14ac:dyDescent="0.25">
      <c r="A17" s="187">
        <v>111333</v>
      </c>
      <c r="B17" s="187" t="s">
        <v>313</v>
      </c>
    </row>
    <row r="18" spans="1:2" x14ac:dyDescent="0.25">
      <c r="A18" s="187">
        <v>111334</v>
      </c>
      <c r="B18" s="187" t="s">
        <v>314</v>
      </c>
    </row>
    <row r="19" spans="1:2" x14ac:dyDescent="0.25">
      <c r="A19" s="187">
        <v>111335</v>
      </c>
      <c r="B19" s="187" t="s">
        <v>315</v>
      </c>
    </row>
    <row r="20" spans="1:2" x14ac:dyDescent="0.25">
      <c r="A20" s="187">
        <v>111336</v>
      </c>
      <c r="B20" s="187" t="s">
        <v>316</v>
      </c>
    </row>
    <row r="21" spans="1:2" x14ac:dyDescent="0.25">
      <c r="A21" s="187">
        <v>111339</v>
      </c>
      <c r="B21" s="187" t="s">
        <v>317</v>
      </c>
    </row>
    <row r="22" spans="1:2" x14ac:dyDescent="0.25">
      <c r="A22" s="187">
        <v>111411</v>
      </c>
      <c r="B22" s="187" t="s">
        <v>318</v>
      </c>
    </row>
    <row r="23" spans="1:2" x14ac:dyDescent="0.25">
      <c r="A23" s="187">
        <v>111419</v>
      </c>
      <c r="B23" s="187" t="s">
        <v>319</v>
      </c>
    </row>
    <row r="24" spans="1:2" x14ac:dyDescent="0.25">
      <c r="A24" s="187">
        <v>111421</v>
      </c>
      <c r="B24" s="187" t="s">
        <v>320</v>
      </c>
    </row>
    <row r="25" spans="1:2" x14ac:dyDescent="0.25">
      <c r="A25" s="187">
        <v>111422</v>
      </c>
      <c r="B25" s="187" t="s">
        <v>321</v>
      </c>
    </row>
    <row r="26" spans="1:2" x14ac:dyDescent="0.25">
      <c r="A26" s="187">
        <v>111910</v>
      </c>
      <c r="B26" s="187" t="s">
        <v>322</v>
      </c>
    </row>
    <row r="27" spans="1:2" x14ac:dyDescent="0.25">
      <c r="A27" s="187">
        <v>111920</v>
      </c>
      <c r="B27" s="187" t="s">
        <v>323</v>
      </c>
    </row>
    <row r="28" spans="1:2" x14ac:dyDescent="0.25">
      <c r="A28" s="187">
        <v>111930</v>
      </c>
      <c r="B28" s="187" t="s">
        <v>324</v>
      </c>
    </row>
    <row r="29" spans="1:2" x14ac:dyDescent="0.25">
      <c r="A29" s="187">
        <v>111940</v>
      </c>
      <c r="B29" s="187" t="s">
        <v>325</v>
      </c>
    </row>
    <row r="30" spans="1:2" x14ac:dyDescent="0.25">
      <c r="A30" s="187">
        <v>111991</v>
      </c>
      <c r="B30" s="187" t="s">
        <v>326</v>
      </c>
    </row>
    <row r="31" spans="1:2" x14ac:dyDescent="0.25">
      <c r="A31" s="187">
        <v>111992</v>
      </c>
      <c r="B31" s="187" t="s">
        <v>327</v>
      </c>
    </row>
    <row r="32" spans="1:2" x14ac:dyDescent="0.25">
      <c r="A32" s="187">
        <v>111998</v>
      </c>
      <c r="B32" s="187" t="s">
        <v>328</v>
      </c>
    </row>
    <row r="33" spans="1:2" x14ac:dyDescent="0.25">
      <c r="A33" s="187">
        <v>112111</v>
      </c>
      <c r="B33" s="187" t="s">
        <v>329</v>
      </c>
    </row>
    <row r="34" spans="1:2" x14ac:dyDescent="0.25">
      <c r="A34" s="187">
        <v>112112</v>
      </c>
      <c r="B34" s="187" t="s">
        <v>330</v>
      </c>
    </row>
    <row r="35" spans="1:2" x14ac:dyDescent="0.25">
      <c r="A35" s="187">
        <v>112120</v>
      </c>
      <c r="B35" s="187" t="s">
        <v>331</v>
      </c>
    </row>
    <row r="36" spans="1:2" x14ac:dyDescent="0.25">
      <c r="A36" s="187">
        <v>112130</v>
      </c>
      <c r="B36" s="187" t="s">
        <v>332</v>
      </c>
    </row>
    <row r="37" spans="1:2" x14ac:dyDescent="0.25">
      <c r="A37" s="187">
        <v>112210</v>
      </c>
      <c r="B37" s="187" t="s">
        <v>333</v>
      </c>
    </row>
    <row r="38" spans="1:2" x14ac:dyDescent="0.25">
      <c r="A38" s="187">
        <v>112310</v>
      </c>
      <c r="B38" s="187" t="s">
        <v>334</v>
      </c>
    </row>
    <row r="39" spans="1:2" x14ac:dyDescent="0.25">
      <c r="A39" s="187">
        <v>112320</v>
      </c>
      <c r="B39" s="187" t="s">
        <v>2370</v>
      </c>
    </row>
    <row r="40" spans="1:2" x14ac:dyDescent="0.25">
      <c r="A40" s="187">
        <v>112330</v>
      </c>
      <c r="B40" s="187" t="s">
        <v>335</v>
      </c>
    </row>
    <row r="41" spans="1:2" x14ac:dyDescent="0.25">
      <c r="A41" s="187">
        <v>112340</v>
      </c>
      <c r="B41" s="187" t="s">
        <v>336</v>
      </c>
    </row>
    <row r="42" spans="1:2" x14ac:dyDescent="0.25">
      <c r="A42" s="187">
        <v>112390</v>
      </c>
      <c r="B42" s="187" t="s">
        <v>337</v>
      </c>
    </row>
    <row r="43" spans="1:2" x14ac:dyDescent="0.25">
      <c r="A43" s="187">
        <v>112410</v>
      </c>
      <c r="B43" s="187" t="s">
        <v>338</v>
      </c>
    </row>
    <row r="44" spans="1:2" x14ac:dyDescent="0.25">
      <c r="A44" s="187">
        <v>112420</v>
      </c>
      <c r="B44" s="187" t="s">
        <v>339</v>
      </c>
    </row>
    <row r="45" spans="1:2" x14ac:dyDescent="0.25">
      <c r="A45" s="187">
        <v>112511</v>
      </c>
      <c r="B45" s="187" t="s">
        <v>340</v>
      </c>
    </row>
    <row r="46" spans="1:2" x14ac:dyDescent="0.25">
      <c r="A46" s="187">
        <v>112512</v>
      </c>
      <c r="B46" s="187" t="s">
        <v>341</v>
      </c>
    </row>
    <row r="47" spans="1:2" x14ac:dyDescent="0.25">
      <c r="A47" s="187">
        <v>112519</v>
      </c>
      <c r="B47" s="187" t="s">
        <v>342</v>
      </c>
    </row>
    <row r="48" spans="1:2" x14ac:dyDescent="0.25">
      <c r="A48" s="187">
        <v>112910</v>
      </c>
      <c r="B48" s="187" t="s">
        <v>343</v>
      </c>
    </row>
    <row r="49" spans="1:2" x14ac:dyDescent="0.25">
      <c r="A49" s="187">
        <v>112920</v>
      </c>
      <c r="B49" s="187" t="s">
        <v>344</v>
      </c>
    </row>
    <row r="50" spans="1:2" x14ac:dyDescent="0.25">
      <c r="A50" s="187">
        <v>112930</v>
      </c>
      <c r="B50" s="187" t="s">
        <v>345</v>
      </c>
    </row>
    <row r="51" spans="1:2" x14ac:dyDescent="0.25">
      <c r="A51" s="187">
        <v>112990</v>
      </c>
      <c r="B51" s="187" t="s">
        <v>346</v>
      </c>
    </row>
    <row r="52" spans="1:2" x14ac:dyDescent="0.25">
      <c r="A52" s="187">
        <v>113110</v>
      </c>
      <c r="B52" s="187" t="s">
        <v>347</v>
      </c>
    </row>
    <row r="53" spans="1:2" x14ac:dyDescent="0.25">
      <c r="A53" s="187">
        <v>113210</v>
      </c>
      <c r="B53" s="187" t="s">
        <v>348</v>
      </c>
    </row>
    <row r="54" spans="1:2" x14ac:dyDescent="0.25">
      <c r="A54" s="187">
        <v>113310</v>
      </c>
      <c r="B54" s="187" t="s">
        <v>349</v>
      </c>
    </row>
    <row r="55" spans="1:2" x14ac:dyDescent="0.25">
      <c r="A55" s="187">
        <v>114111</v>
      </c>
      <c r="B55" s="187" t="s">
        <v>350</v>
      </c>
    </row>
    <row r="56" spans="1:2" x14ac:dyDescent="0.25">
      <c r="A56" s="187">
        <v>114112</v>
      </c>
      <c r="B56" s="187" t="s">
        <v>351</v>
      </c>
    </row>
    <row r="57" spans="1:2" x14ac:dyDescent="0.25">
      <c r="A57" s="187">
        <v>114119</v>
      </c>
      <c r="B57" s="187" t="s">
        <v>352</v>
      </c>
    </row>
    <row r="58" spans="1:2" x14ac:dyDescent="0.25">
      <c r="A58" s="187">
        <v>114210</v>
      </c>
      <c r="B58" s="187" t="s">
        <v>353</v>
      </c>
    </row>
    <row r="59" spans="1:2" x14ac:dyDescent="0.25">
      <c r="A59" s="187">
        <v>115111</v>
      </c>
      <c r="B59" s="187" t="s">
        <v>354</v>
      </c>
    </row>
    <row r="60" spans="1:2" x14ac:dyDescent="0.25">
      <c r="A60" s="187">
        <v>115112</v>
      </c>
      <c r="B60" s="187" t="s">
        <v>355</v>
      </c>
    </row>
    <row r="61" spans="1:2" x14ac:dyDescent="0.25">
      <c r="A61" s="187">
        <v>115113</v>
      </c>
      <c r="B61" s="187" t="s">
        <v>356</v>
      </c>
    </row>
    <row r="62" spans="1:2" x14ac:dyDescent="0.25">
      <c r="A62" s="187">
        <v>115114</v>
      </c>
      <c r="B62" s="187" t="s">
        <v>357</v>
      </c>
    </row>
    <row r="63" spans="1:2" x14ac:dyDescent="0.25">
      <c r="A63" s="187">
        <v>115115</v>
      </c>
      <c r="B63" s="187" t="s">
        <v>358</v>
      </c>
    </row>
    <row r="64" spans="1:2" x14ac:dyDescent="0.25">
      <c r="A64" s="187">
        <v>115116</v>
      </c>
      <c r="B64" s="187" t="s">
        <v>359</v>
      </c>
    </row>
    <row r="65" spans="1:2" x14ac:dyDescent="0.25">
      <c r="A65" s="187">
        <v>115210</v>
      </c>
      <c r="B65" s="187" t="s">
        <v>360</v>
      </c>
    </row>
    <row r="66" spans="1:2" x14ac:dyDescent="0.25">
      <c r="A66" s="187">
        <v>115310</v>
      </c>
      <c r="B66" s="187" t="s">
        <v>361</v>
      </c>
    </row>
    <row r="67" spans="1:2" x14ac:dyDescent="0.25">
      <c r="A67" s="187">
        <v>211120</v>
      </c>
      <c r="B67" s="187" t="s">
        <v>2371</v>
      </c>
    </row>
    <row r="68" spans="1:2" x14ac:dyDescent="0.25">
      <c r="A68" s="187">
        <v>211130</v>
      </c>
      <c r="B68" s="187" t="s">
        <v>2372</v>
      </c>
    </row>
    <row r="69" spans="1:2" x14ac:dyDescent="0.25">
      <c r="A69" s="187">
        <v>212111</v>
      </c>
      <c r="B69" s="187" t="s">
        <v>362</v>
      </c>
    </row>
    <row r="70" spans="1:2" x14ac:dyDescent="0.25">
      <c r="A70" s="187">
        <v>212112</v>
      </c>
      <c r="B70" s="187" t="s">
        <v>363</v>
      </c>
    </row>
    <row r="71" spans="1:2" x14ac:dyDescent="0.25">
      <c r="A71" s="187">
        <v>212113</v>
      </c>
      <c r="B71" s="187" t="s">
        <v>364</v>
      </c>
    </row>
    <row r="72" spans="1:2" x14ac:dyDescent="0.25">
      <c r="A72" s="187">
        <v>212210</v>
      </c>
      <c r="B72" s="187" t="s">
        <v>365</v>
      </c>
    </row>
    <row r="73" spans="1:2" x14ac:dyDescent="0.25">
      <c r="A73" s="187">
        <v>212221</v>
      </c>
      <c r="B73" s="187" t="s">
        <v>366</v>
      </c>
    </row>
    <row r="74" spans="1:2" x14ac:dyDescent="0.25">
      <c r="A74" s="187">
        <v>212222</v>
      </c>
      <c r="B74" s="187" t="s">
        <v>367</v>
      </c>
    </row>
    <row r="75" spans="1:2" x14ac:dyDescent="0.25">
      <c r="A75" s="187">
        <v>212230</v>
      </c>
      <c r="B75" s="187" t="s">
        <v>2373</v>
      </c>
    </row>
    <row r="76" spans="1:2" x14ac:dyDescent="0.25">
      <c r="A76" s="187">
        <v>212291</v>
      </c>
      <c r="B76" s="187" t="s">
        <v>368</v>
      </c>
    </row>
    <row r="77" spans="1:2" x14ac:dyDescent="0.25">
      <c r="A77" s="187">
        <v>212299</v>
      </c>
      <c r="B77" s="187" t="s">
        <v>369</v>
      </c>
    </row>
    <row r="78" spans="1:2" x14ac:dyDescent="0.25">
      <c r="A78" s="187">
        <v>212311</v>
      </c>
      <c r="B78" s="187" t="s">
        <v>370</v>
      </c>
    </row>
    <row r="79" spans="1:2" x14ac:dyDescent="0.25">
      <c r="A79" s="187">
        <v>212312</v>
      </c>
      <c r="B79" s="187" t="s">
        <v>371</v>
      </c>
    </row>
    <row r="80" spans="1:2" x14ac:dyDescent="0.25">
      <c r="A80" s="187">
        <v>212313</v>
      </c>
      <c r="B80" s="187" t="s">
        <v>372</v>
      </c>
    </row>
    <row r="81" spans="1:2" x14ac:dyDescent="0.25">
      <c r="A81" s="187">
        <v>212319</v>
      </c>
      <c r="B81" s="187" t="s">
        <v>373</v>
      </c>
    </row>
    <row r="82" spans="1:2" x14ac:dyDescent="0.25">
      <c r="A82" s="187">
        <v>212321</v>
      </c>
      <c r="B82" s="187" t="s">
        <v>374</v>
      </c>
    </row>
    <row r="83" spans="1:2" x14ac:dyDescent="0.25">
      <c r="A83" s="187">
        <v>212322</v>
      </c>
      <c r="B83" s="187" t="s">
        <v>375</v>
      </c>
    </row>
    <row r="84" spans="1:2" x14ac:dyDescent="0.25">
      <c r="A84" s="187">
        <v>212324</v>
      </c>
      <c r="B84" s="187" t="s">
        <v>376</v>
      </c>
    </row>
    <row r="85" spans="1:2" x14ac:dyDescent="0.25">
      <c r="A85" s="187">
        <v>212325</v>
      </c>
      <c r="B85" s="187" t="s">
        <v>377</v>
      </c>
    </row>
    <row r="86" spans="1:2" x14ac:dyDescent="0.25">
      <c r="A86" s="187">
        <v>212391</v>
      </c>
      <c r="B86" s="187" t="s">
        <v>378</v>
      </c>
    </row>
    <row r="87" spans="1:2" x14ac:dyDescent="0.25">
      <c r="A87" s="187">
        <v>212392</v>
      </c>
      <c r="B87" s="187" t="s">
        <v>379</v>
      </c>
    </row>
    <row r="88" spans="1:2" x14ac:dyDescent="0.25">
      <c r="A88" s="187">
        <v>212393</v>
      </c>
      <c r="B88" s="187" t="s">
        <v>380</v>
      </c>
    </row>
    <row r="89" spans="1:2" x14ac:dyDescent="0.25">
      <c r="A89" s="187">
        <v>212399</v>
      </c>
      <c r="B89" s="187" t="s">
        <v>381</v>
      </c>
    </row>
    <row r="90" spans="1:2" x14ac:dyDescent="0.25">
      <c r="A90" s="187">
        <v>213111</v>
      </c>
      <c r="B90" s="187" t="s">
        <v>382</v>
      </c>
    </row>
    <row r="91" spans="1:2" x14ac:dyDescent="0.25">
      <c r="A91" s="187">
        <v>213112</v>
      </c>
      <c r="B91" s="187" t="s">
        <v>383</v>
      </c>
    </row>
    <row r="92" spans="1:2" x14ac:dyDescent="0.25">
      <c r="A92" s="187">
        <v>213113</v>
      </c>
      <c r="B92" s="187" t="s">
        <v>384</v>
      </c>
    </row>
    <row r="93" spans="1:2" x14ac:dyDescent="0.25">
      <c r="A93" s="187">
        <v>213114</v>
      </c>
      <c r="B93" s="187" t="s">
        <v>385</v>
      </c>
    </row>
    <row r="94" spans="1:2" x14ac:dyDescent="0.25">
      <c r="A94" s="187">
        <v>213115</v>
      </c>
      <c r="B94" s="187" t="s">
        <v>386</v>
      </c>
    </row>
    <row r="95" spans="1:2" x14ac:dyDescent="0.25">
      <c r="A95" s="187">
        <v>221111</v>
      </c>
      <c r="B95" s="187" t="s">
        <v>387</v>
      </c>
    </row>
    <row r="96" spans="1:2" x14ac:dyDescent="0.25">
      <c r="A96" s="187">
        <v>221112</v>
      </c>
      <c r="B96" s="187" t="s">
        <v>388</v>
      </c>
    </row>
    <row r="97" spans="1:2" x14ac:dyDescent="0.25">
      <c r="A97" s="187">
        <v>221113</v>
      </c>
      <c r="B97" s="187" t="s">
        <v>389</v>
      </c>
    </row>
    <row r="98" spans="1:2" x14ac:dyDescent="0.25">
      <c r="A98" s="187">
        <v>221114</v>
      </c>
      <c r="B98" s="187" t="s">
        <v>390</v>
      </c>
    </row>
    <row r="99" spans="1:2" x14ac:dyDescent="0.25">
      <c r="A99" s="187">
        <v>221115</v>
      </c>
      <c r="B99" s="187" t="s">
        <v>391</v>
      </c>
    </row>
    <row r="100" spans="1:2" x14ac:dyDescent="0.25">
      <c r="A100" s="187">
        <v>221116</v>
      </c>
      <c r="B100" s="187" t="s">
        <v>392</v>
      </c>
    </row>
    <row r="101" spans="1:2" x14ac:dyDescent="0.25">
      <c r="A101" s="187">
        <v>221117</v>
      </c>
      <c r="B101" s="187" t="s">
        <v>393</v>
      </c>
    </row>
    <row r="102" spans="1:2" x14ac:dyDescent="0.25">
      <c r="A102" s="187">
        <v>221118</v>
      </c>
      <c r="B102" s="187" t="s">
        <v>394</v>
      </c>
    </row>
    <row r="103" spans="1:2" x14ac:dyDescent="0.25">
      <c r="A103" s="187">
        <v>221121</v>
      </c>
      <c r="B103" s="187" t="s">
        <v>395</v>
      </c>
    </row>
    <row r="104" spans="1:2" x14ac:dyDescent="0.25">
      <c r="A104" s="187">
        <v>221122</v>
      </c>
      <c r="B104" s="187" t="s">
        <v>396</v>
      </c>
    </row>
    <row r="105" spans="1:2" x14ac:dyDescent="0.25">
      <c r="A105" s="187">
        <v>221210</v>
      </c>
      <c r="B105" s="187" t="s">
        <v>397</v>
      </c>
    </row>
    <row r="106" spans="1:2" x14ac:dyDescent="0.25">
      <c r="A106" s="187">
        <v>221310</v>
      </c>
      <c r="B106" s="187" t="s">
        <v>398</v>
      </c>
    </row>
    <row r="107" spans="1:2" x14ac:dyDescent="0.25">
      <c r="A107" s="187">
        <v>221320</v>
      </c>
      <c r="B107" s="187" t="s">
        <v>399</v>
      </c>
    </row>
    <row r="108" spans="1:2" x14ac:dyDescent="0.25">
      <c r="A108" s="187">
        <v>221330</v>
      </c>
      <c r="B108" s="187" t="s">
        <v>400</v>
      </c>
    </row>
    <row r="109" spans="1:2" x14ac:dyDescent="0.25">
      <c r="A109" s="187">
        <v>236115</v>
      </c>
      <c r="B109" s="187" t="s">
        <v>401</v>
      </c>
    </row>
    <row r="110" spans="1:2" x14ac:dyDescent="0.25">
      <c r="A110" s="187">
        <v>236116</v>
      </c>
      <c r="B110" s="187" t="s">
        <v>402</v>
      </c>
    </row>
    <row r="111" spans="1:2" x14ac:dyDescent="0.25">
      <c r="A111" s="187">
        <v>236117</v>
      </c>
      <c r="B111" s="187" t="s">
        <v>403</v>
      </c>
    </row>
    <row r="112" spans="1:2" x14ac:dyDescent="0.25">
      <c r="A112" s="187">
        <v>236118</v>
      </c>
      <c r="B112" s="187" t="s">
        <v>404</v>
      </c>
    </row>
    <row r="113" spans="1:2" x14ac:dyDescent="0.25">
      <c r="A113" s="187">
        <v>236210</v>
      </c>
      <c r="B113" s="187" t="s">
        <v>405</v>
      </c>
    </row>
    <row r="114" spans="1:2" x14ac:dyDescent="0.25">
      <c r="A114" s="187">
        <v>236220</v>
      </c>
      <c r="B114" s="187" t="s">
        <v>406</v>
      </c>
    </row>
    <row r="115" spans="1:2" x14ac:dyDescent="0.25">
      <c r="A115" s="187">
        <v>237110</v>
      </c>
      <c r="B115" s="187" t="s">
        <v>407</v>
      </c>
    </row>
    <row r="116" spans="1:2" x14ac:dyDescent="0.25">
      <c r="A116" s="187">
        <v>237120</v>
      </c>
      <c r="B116" s="187" t="s">
        <v>408</v>
      </c>
    </row>
    <row r="117" spans="1:2" x14ac:dyDescent="0.25">
      <c r="A117" s="187">
        <v>237130</v>
      </c>
      <c r="B117" s="187" t="s">
        <v>409</v>
      </c>
    </row>
    <row r="118" spans="1:2" x14ac:dyDescent="0.25">
      <c r="A118" s="187">
        <v>237210</v>
      </c>
      <c r="B118" s="187" t="s">
        <v>410</v>
      </c>
    </row>
    <row r="119" spans="1:2" x14ac:dyDescent="0.25">
      <c r="A119" s="187">
        <v>237310</v>
      </c>
      <c r="B119" s="187" t="s">
        <v>411</v>
      </c>
    </row>
    <row r="120" spans="1:2" x14ac:dyDescent="0.25">
      <c r="A120" s="187">
        <v>237990</v>
      </c>
      <c r="B120" s="187" t="s">
        <v>412</v>
      </c>
    </row>
    <row r="121" spans="1:2" x14ac:dyDescent="0.25">
      <c r="A121" s="187">
        <v>238110</v>
      </c>
      <c r="B121" s="187" t="s">
        <v>413</v>
      </c>
    </row>
    <row r="122" spans="1:2" x14ac:dyDescent="0.25">
      <c r="A122" s="187">
        <v>238120</v>
      </c>
      <c r="B122" s="187" t="s">
        <v>414</v>
      </c>
    </row>
    <row r="123" spans="1:2" x14ac:dyDescent="0.25">
      <c r="A123" s="187">
        <v>238130</v>
      </c>
      <c r="B123" s="187" t="s">
        <v>415</v>
      </c>
    </row>
    <row r="124" spans="1:2" x14ac:dyDescent="0.25">
      <c r="A124" s="187">
        <v>238140</v>
      </c>
      <c r="B124" s="187" t="s">
        <v>416</v>
      </c>
    </row>
    <row r="125" spans="1:2" x14ac:dyDescent="0.25">
      <c r="A125" s="187">
        <v>238150</v>
      </c>
      <c r="B125" s="187" t="s">
        <v>417</v>
      </c>
    </row>
    <row r="126" spans="1:2" x14ac:dyDescent="0.25">
      <c r="A126" s="187">
        <v>238160</v>
      </c>
      <c r="B126" s="187" t="s">
        <v>418</v>
      </c>
    </row>
    <row r="127" spans="1:2" x14ac:dyDescent="0.25">
      <c r="A127" s="187">
        <v>238170</v>
      </c>
      <c r="B127" s="187" t="s">
        <v>419</v>
      </c>
    </row>
    <row r="128" spans="1:2" x14ac:dyDescent="0.25">
      <c r="A128" s="187">
        <v>238190</v>
      </c>
      <c r="B128" s="187" t="s">
        <v>420</v>
      </c>
    </row>
    <row r="129" spans="1:2" x14ac:dyDescent="0.25">
      <c r="A129" s="187">
        <v>238210</v>
      </c>
      <c r="B129" s="187" t="s">
        <v>421</v>
      </c>
    </row>
    <row r="130" spans="1:2" x14ac:dyDescent="0.25">
      <c r="A130" s="187">
        <v>238220</v>
      </c>
      <c r="B130" s="187" t="s">
        <v>422</v>
      </c>
    </row>
    <row r="131" spans="1:2" x14ac:dyDescent="0.25">
      <c r="A131" s="187">
        <v>238290</v>
      </c>
      <c r="B131" s="187" t="s">
        <v>423</v>
      </c>
    </row>
    <row r="132" spans="1:2" x14ac:dyDescent="0.25">
      <c r="A132" s="187">
        <v>238310</v>
      </c>
      <c r="B132" s="187" t="s">
        <v>424</v>
      </c>
    </row>
    <row r="133" spans="1:2" x14ac:dyDescent="0.25">
      <c r="A133" s="187">
        <v>238320</v>
      </c>
      <c r="B133" s="187" t="s">
        <v>425</v>
      </c>
    </row>
    <row r="134" spans="1:2" x14ac:dyDescent="0.25">
      <c r="A134" s="187">
        <v>238330</v>
      </c>
      <c r="B134" s="187" t="s">
        <v>426</v>
      </c>
    </row>
    <row r="135" spans="1:2" x14ac:dyDescent="0.25">
      <c r="A135" s="187">
        <v>238340</v>
      </c>
      <c r="B135" s="187" t="s">
        <v>427</v>
      </c>
    </row>
    <row r="136" spans="1:2" x14ac:dyDescent="0.25">
      <c r="A136" s="187">
        <v>238350</v>
      </c>
      <c r="B136" s="187" t="s">
        <v>428</v>
      </c>
    </row>
    <row r="137" spans="1:2" x14ac:dyDescent="0.25">
      <c r="A137" s="187">
        <v>238390</v>
      </c>
      <c r="B137" s="187" t="s">
        <v>429</v>
      </c>
    </row>
    <row r="138" spans="1:2" x14ac:dyDescent="0.25">
      <c r="A138" s="187">
        <v>238910</v>
      </c>
      <c r="B138" s="187" t="s">
        <v>430</v>
      </c>
    </row>
    <row r="139" spans="1:2" x14ac:dyDescent="0.25">
      <c r="A139" s="187">
        <v>238990</v>
      </c>
      <c r="B139" s="187" t="s">
        <v>431</v>
      </c>
    </row>
    <row r="140" spans="1:2" x14ac:dyDescent="0.25">
      <c r="A140" s="187">
        <v>311111</v>
      </c>
      <c r="B140" s="187" t="s">
        <v>432</v>
      </c>
    </row>
    <row r="141" spans="1:2" x14ac:dyDescent="0.25">
      <c r="A141" s="187">
        <v>311119</v>
      </c>
      <c r="B141" s="187" t="s">
        <v>433</v>
      </c>
    </row>
    <row r="142" spans="1:2" x14ac:dyDescent="0.25">
      <c r="A142" s="187">
        <v>311211</v>
      </c>
      <c r="B142" s="187" t="s">
        <v>434</v>
      </c>
    </row>
    <row r="143" spans="1:2" x14ac:dyDescent="0.25">
      <c r="A143" s="187">
        <v>311212</v>
      </c>
      <c r="B143" s="187" t="s">
        <v>435</v>
      </c>
    </row>
    <row r="144" spans="1:2" x14ac:dyDescent="0.25">
      <c r="A144" s="187">
        <v>311213</v>
      </c>
      <c r="B144" s="187" t="s">
        <v>436</v>
      </c>
    </row>
    <row r="145" spans="1:2" x14ac:dyDescent="0.25">
      <c r="A145" s="187">
        <v>311221</v>
      </c>
      <c r="B145" s="187" t="s">
        <v>437</v>
      </c>
    </row>
    <row r="146" spans="1:2" x14ac:dyDescent="0.25">
      <c r="A146" s="187">
        <v>311224</v>
      </c>
      <c r="B146" s="187" t="s">
        <v>438</v>
      </c>
    </row>
    <row r="147" spans="1:2" x14ac:dyDescent="0.25">
      <c r="A147" s="187">
        <v>311225</v>
      </c>
      <c r="B147" s="187" t="s">
        <v>439</v>
      </c>
    </row>
    <row r="148" spans="1:2" x14ac:dyDescent="0.25">
      <c r="A148" s="187">
        <v>311230</v>
      </c>
      <c r="B148" s="187" t="s">
        <v>440</v>
      </c>
    </row>
    <row r="149" spans="1:2" x14ac:dyDescent="0.25">
      <c r="A149" s="187">
        <v>311313</v>
      </c>
      <c r="B149" s="187" t="s">
        <v>441</v>
      </c>
    </row>
    <row r="150" spans="1:2" x14ac:dyDescent="0.25">
      <c r="A150" s="187">
        <v>311314</v>
      </c>
      <c r="B150" s="187" t="s">
        <v>442</v>
      </c>
    </row>
    <row r="151" spans="1:2" x14ac:dyDescent="0.25">
      <c r="A151" s="187">
        <v>311340</v>
      </c>
      <c r="B151" s="187" t="s">
        <v>443</v>
      </c>
    </row>
    <row r="152" spans="1:2" x14ac:dyDescent="0.25">
      <c r="A152" s="187">
        <v>311351</v>
      </c>
      <c r="B152" s="187" t="s">
        <v>444</v>
      </c>
    </row>
    <row r="153" spans="1:2" x14ac:dyDescent="0.25">
      <c r="A153" s="187">
        <v>311352</v>
      </c>
      <c r="B153" s="187" t="s">
        <v>445</v>
      </c>
    </row>
    <row r="154" spans="1:2" x14ac:dyDescent="0.25">
      <c r="A154" s="187">
        <v>311411</v>
      </c>
      <c r="B154" s="187" t="s">
        <v>446</v>
      </c>
    </row>
    <row r="155" spans="1:2" x14ac:dyDescent="0.25">
      <c r="A155" s="187">
        <v>311412</v>
      </c>
      <c r="B155" s="187" t="s">
        <v>447</v>
      </c>
    </row>
    <row r="156" spans="1:2" x14ac:dyDescent="0.25">
      <c r="A156" s="187">
        <v>311421</v>
      </c>
      <c r="B156" s="187" t="s">
        <v>448</v>
      </c>
    </row>
    <row r="157" spans="1:2" x14ac:dyDescent="0.25">
      <c r="A157" s="187">
        <v>311422</v>
      </c>
      <c r="B157" s="187" t="s">
        <v>449</v>
      </c>
    </row>
    <row r="158" spans="1:2" x14ac:dyDescent="0.25">
      <c r="A158" s="187">
        <v>311423</v>
      </c>
      <c r="B158" s="187" t="s">
        <v>450</v>
      </c>
    </row>
    <row r="159" spans="1:2" x14ac:dyDescent="0.25">
      <c r="A159" s="187">
        <v>311511</v>
      </c>
      <c r="B159" s="187" t="s">
        <v>451</v>
      </c>
    </row>
    <row r="160" spans="1:2" x14ac:dyDescent="0.25">
      <c r="A160" s="187">
        <v>311512</v>
      </c>
      <c r="B160" s="187" t="s">
        <v>452</v>
      </c>
    </row>
    <row r="161" spans="1:2" x14ac:dyDescent="0.25">
      <c r="A161" s="187">
        <v>311513</v>
      </c>
      <c r="B161" s="187" t="s">
        <v>453</v>
      </c>
    </row>
    <row r="162" spans="1:2" x14ac:dyDescent="0.25">
      <c r="A162" s="187">
        <v>311514</v>
      </c>
      <c r="B162" s="187" t="s">
        <v>454</v>
      </c>
    </row>
    <row r="163" spans="1:2" x14ac:dyDescent="0.25">
      <c r="A163" s="187">
        <v>311520</v>
      </c>
      <c r="B163" s="187" t="s">
        <v>455</v>
      </c>
    </row>
    <row r="164" spans="1:2" x14ac:dyDescent="0.25">
      <c r="A164" s="187">
        <v>311611</v>
      </c>
      <c r="B164" s="187" t="s">
        <v>456</v>
      </c>
    </row>
    <row r="165" spans="1:2" x14ac:dyDescent="0.25">
      <c r="A165" s="187">
        <v>311612</v>
      </c>
      <c r="B165" s="187" t="s">
        <v>457</v>
      </c>
    </row>
    <row r="166" spans="1:2" x14ac:dyDescent="0.25">
      <c r="A166" s="187">
        <v>311613</v>
      </c>
      <c r="B166" s="187" t="s">
        <v>458</v>
      </c>
    </row>
    <row r="167" spans="1:2" x14ac:dyDescent="0.25">
      <c r="A167" s="187">
        <v>311615</v>
      </c>
      <c r="B167" s="187" t="s">
        <v>459</v>
      </c>
    </row>
    <row r="168" spans="1:2" x14ac:dyDescent="0.25">
      <c r="A168" s="187">
        <v>311710</v>
      </c>
      <c r="B168" s="187" t="s">
        <v>460</v>
      </c>
    </row>
    <row r="169" spans="1:2" x14ac:dyDescent="0.25">
      <c r="A169" s="187">
        <v>311811</v>
      </c>
      <c r="B169" s="187" t="s">
        <v>461</v>
      </c>
    </row>
    <row r="170" spans="1:2" x14ac:dyDescent="0.25">
      <c r="A170" s="187">
        <v>311812</v>
      </c>
      <c r="B170" s="187" t="s">
        <v>462</v>
      </c>
    </row>
    <row r="171" spans="1:2" x14ac:dyDescent="0.25">
      <c r="A171" s="187">
        <v>311813</v>
      </c>
      <c r="B171" s="187" t="s">
        <v>463</v>
      </c>
    </row>
    <row r="172" spans="1:2" x14ac:dyDescent="0.25">
      <c r="A172" s="187">
        <v>311821</v>
      </c>
      <c r="B172" s="187" t="s">
        <v>464</v>
      </c>
    </row>
    <row r="173" spans="1:2" x14ac:dyDescent="0.25">
      <c r="A173" s="187">
        <v>311824</v>
      </c>
      <c r="B173" s="187" t="s">
        <v>465</v>
      </c>
    </row>
    <row r="174" spans="1:2" x14ac:dyDescent="0.25">
      <c r="A174" s="187">
        <v>311830</v>
      </c>
      <c r="B174" s="187" t="s">
        <v>466</v>
      </c>
    </row>
    <row r="175" spans="1:2" x14ac:dyDescent="0.25">
      <c r="A175" s="187">
        <v>311911</v>
      </c>
      <c r="B175" s="187" t="s">
        <v>467</v>
      </c>
    </row>
    <row r="176" spans="1:2" x14ac:dyDescent="0.25">
      <c r="A176" s="187">
        <v>311919</v>
      </c>
      <c r="B176" s="187" t="s">
        <v>468</v>
      </c>
    </row>
    <row r="177" spans="1:2" x14ac:dyDescent="0.25">
      <c r="A177" s="187">
        <v>311920</v>
      </c>
      <c r="B177" s="187" t="s">
        <v>469</v>
      </c>
    </row>
    <row r="178" spans="1:2" x14ac:dyDescent="0.25">
      <c r="A178" s="187">
        <v>311930</v>
      </c>
      <c r="B178" s="187" t="s">
        <v>470</v>
      </c>
    </row>
    <row r="179" spans="1:2" x14ac:dyDescent="0.25">
      <c r="A179" s="187">
        <v>311941</v>
      </c>
      <c r="B179" s="187" t="s">
        <v>471</v>
      </c>
    </row>
    <row r="180" spans="1:2" x14ac:dyDescent="0.25">
      <c r="A180" s="187">
        <v>311942</v>
      </c>
      <c r="B180" s="187" t="s">
        <v>472</v>
      </c>
    </row>
    <row r="181" spans="1:2" x14ac:dyDescent="0.25">
      <c r="A181" s="187">
        <v>311991</v>
      </c>
      <c r="B181" s="187" t="s">
        <v>473</v>
      </c>
    </row>
    <row r="182" spans="1:2" x14ac:dyDescent="0.25">
      <c r="A182" s="187">
        <v>311999</v>
      </c>
      <c r="B182" s="187" t="s">
        <v>474</v>
      </c>
    </row>
    <row r="183" spans="1:2" x14ac:dyDescent="0.25">
      <c r="A183" s="187">
        <v>312111</v>
      </c>
      <c r="B183" s="187" t="s">
        <v>475</v>
      </c>
    </row>
    <row r="184" spans="1:2" x14ac:dyDescent="0.25">
      <c r="A184" s="187">
        <v>312112</v>
      </c>
      <c r="B184" s="187" t="s">
        <v>476</v>
      </c>
    </row>
    <row r="185" spans="1:2" x14ac:dyDescent="0.25">
      <c r="A185" s="187">
        <v>312113</v>
      </c>
      <c r="B185" s="187" t="s">
        <v>477</v>
      </c>
    </row>
    <row r="186" spans="1:2" x14ac:dyDescent="0.25">
      <c r="A186" s="187">
        <v>312120</v>
      </c>
      <c r="B186" s="187" t="s">
        <v>289</v>
      </c>
    </row>
    <row r="187" spans="1:2" x14ac:dyDescent="0.25">
      <c r="A187" s="187">
        <v>312130</v>
      </c>
      <c r="B187" s="187" t="s">
        <v>478</v>
      </c>
    </row>
    <row r="188" spans="1:2" x14ac:dyDescent="0.25">
      <c r="A188" s="187">
        <v>312140</v>
      </c>
      <c r="B188" s="187" t="s">
        <v>479</v>
      </c>
    </row>
    <row r="189" spans="1:2" x14ac:dyDescent="0.25">
      <c r="A189" s="187">
        <v>312230</v>
      </c>
      <c r="B189" s="187" t="s">
        <v>480</v>
      </c>
    </row>
    <row r="190" spans="1:2" x14ac:dyDescent="0.25">
      <c r="A190" s="187">
        <v>313110</v>
      </c>
      <c r="B190" s="187" t="s">
        <v>481</v>
      </c>
    </row>
    <row r="191" spans="1:2" x14ac:dyDescent="0.25">
      <c r="A191" s="187">
        <v>313210</v>
      </c>
      <c r="B191" s="187" t="s">
        <v>482</v>
      </c>
    </row>
    <row r="192" spans="1:2" x14ac:dyDescent="0.25">
      <c r="A192" s="187">
        <v>313220</v>
      </c>
      <c r="B192" s="187" t="s">
        <v>483</v>
      </c>
    </row>
    <row r="193" spans="1:2" x14ac:dyDescent="0.25">
      <c r="A193" s="187">
        <v>313230</v>
      </c>
      <c r="B193" s="187" t="s">
        <v>484</v>
      </c>
    </row>
    <row r="194" spans="1:2" x14ac:dyDescent="0.25">
      <c r="A194" s="187">
        <v>313240</v>
      </c>
      <c r="B194" s="187" t="s">
        <v>485</v>
      </c>
    </row>
    <row r="195" spans="1:2" x14ac:dyDescent="0.25">
      <c r="A195" s="187">
        <v>313310</v>
      </c>
      <c r="B195" s="187" t="s">
        <v>2374</v>
      </c>
    </row>
    <row r="196" spans="1:2" x14ac:dyDescent="0.25">
      <c r="A196" s="187">
        <v>313320</v>
      </c>
      <c r="B196" s="187" t="s">
        <v>486</v>
      </c>
    </row>
    <row r="197" spans="1:2" x14ac:dyDescent="0.25">
      <c r="A197" s="187">
        <v>314110</v>
      </c>
      <c r="B197" s="187" t="s">
        <v>487</v>
      </c>
    </row>
    <row r="198" spans="1:2" x14ac:dyDescent="0.25">
      <c r="A198" s="187">
        <v>314120</v>
      </c>
      <c r="B198" s="187" t="s">
        <v>488</v>
      </c>
    </row>
    <row r="199" spans="1:2" x14ac:dyDescent="0.25">
      <c r="A199" s="187">
        <v>314910</v>
      </c>
      <c r="B199" s="187" t="s">
        <v>489</v>
      </c>
    </row>
    <row r="200" spans="1:2" x14ac:dyDescent="0.25">
      <c r="A200" s="187">
        <v>314994</v>
      </c>
      <c r="B200" s="187" t="s">
        <v>490</v>
      </c>
    </row>
    <row r="201" spans="1:2" x14ac:dyDescent="0.25">
      <c r="A201" s="187">
        <v>314999</v>
      </c>
      <c r="B201" s="187" t="s">
        <v>491</v>
      </c>
    </row>
    <row r="202" spans="1:2" x14ac:dyDescent="0.25">
      <c r="A202" s="187">
        <v>315110</v>
      </c>
      <c r="B202" s="187" t="s">
        <v>492</v>
      </c>
    </row>
    <row r="203" spans="1:2" x14ac:dyDescent="0.25">
      <c r="A203" s="187">
        <v>315190</v>
      </c>
      <c r="B203" s="187" t="s">
        <v>493</v>
      </c>
    </row>
    <row r="204" spans="1:2" x14ac:dyDescent="0.25">
      <c r="A204" s="187">
        <v>315210</v>
      </c>
      <c r="B204" s="187" t="s">
        <v>494</v>
      </c>
    </row>
    <row r="205" spans="1:2" x14ac:dyDescent="0.25">
      <c r="A205" s="187">
        <v>315220</v>
      </c>
      <c r="B205" s="187" t="s">
        <v>495</v>
      </c>
    </row>
    <row r="206" spans="1:2" x14ac:dyDescent="0.25">
      <c r="A206" s="187">
        <v>315240</v>
      </c>
      <c r="B206" s="187" t="s">
        <v>496</v>
      </c>
    </row>
    <row r="207" spans="1:2" x14ac:dyDescent="0.25">
      <c r="A207" s="187">
        <v>315280</v>
      </c>
      <c r="B207" s="187" t="s">
        <v>497</v>
      </c>
    </row>
    <row r="208" spans="1:2" x14ac:dyDescent="0.25">
      <c r="A208" s="187">
        <v>315990</v>
      </c>
      <c r="B208" s="187" t="s">
        <v>498</v>
      </c>
    </row>
    <row r="209" spans="1:2" x14ac:dyDescent="0.25">
      <c r="A209" s="187">
        <v>316110</v>
      </c>
      <c r="B209" s="187" t="s">
        <v>499</v>
      </c>
    </row>
    <row r="210" spans="1:2" x14ac:dyDescent="0.25">
      <c r="A210" s="187">
        <v>316210</v>
      </c>
      <c r="B210" s="187" t="s">
        <v>500</v>
      </c>
    </row>
    <row r="211" spans="1:2" x14ac:dyDescent="0.25">
      <c r="A211" s="187">
        <v>316992</v>
      </c>
      <c r="B211" s="187" t="s">
        <v>501</v>
      </c>
    </row>
    <row r="212" spans="1:2" x14ac:dyDescent="0.25">
      <c r="A212" s="187">
        <v>316998</v>
      </c>
      <c r="B212" s="187" t="s">
        <v>502</v>
      </c>
    </row>
    <row r="213" spans="1:2" x14ac:dyDescent="0.25">
      <c r="A213" s="187">
        <v>321113</v>
      </c>
      <c r="B213" s="187" t="s">
        <v>503</v>
      </c>
    </row>
    <row r="214" spans="1:2" x14ac:dyDescent="0.25">
      <c r="A214" s="187">
        <v>321114</v>
      </c>
      <c r="B214" s="187" t="s">
        <v>504</v>
      </c>
    </row>
    <row r="215" spans="1:2" x14ac:dyDescent="0.25">
      <c r="A215" s="187">
        <v>321211</v>
      </c>
      <c r="B215" s="187" t="s">
        <v>505</v>
      </c>
    </row>
    <row r="216" spans="1:2" x14ac:dyDescent="0.25">
      <c r="A216" s="187">
        <v>321212</v>
      </c>
      <c r="B216" s="187" t="s">
        <v>506</v>
      </c>
    </row>
    <row r="217" spans="1:2" x14ac:dyDescent="0.25">
      <c r="A217" s="187">
        <v>321213</v>
      </c>
      <c r="B217" s="187" t="s">
        <v>507</v>
      </c>
    </row>
    <row r="218" spans="1:2" x14ac:dyDescent="0.25">
      <c r="A218" s="187">
        <v>321214</v>
      </c>
      <c r="B218" s="187" t="s">
        <v>508</v>
      </c>
    </row>
    <row r="219" spans="1:2" x14ac:dyDescent="0.25">
      <c r="A219" s="187">
        <v>321219</v>
      </c>
      <c r="B219" s="187" t="s">
        <v>509</v>
      </c>
    </row>
    <row r="220" spans="1:2" x14ac:dyDescent="0.25">
      <c r="A220" s="187">
        <v>321911</v>
      </c>
      <c r="B220" s="187" t="s">
        <v>510</v>
      </c>
    </row>
    <row r="221" spans="1:2" x14ac:dyDescent="0.25">
      <c r="A221" s="187">
        <v>321912</v>
      </c>
      <c r="B221" s="187" t="s">
        <v>511</v>
      </c>
    </row>
    <row r="222" spans="1:2" x14ac:dyDescent="0.25">
      <c r="A222" s="187">
        <v>321918</v>
      </c>
      <c r="B222" s="187" t="s">
        <v>512</v>
      </c>
    </row>
    <row r="223" spans="1:2" x14ac:dyDescent="0.25">
      <c r="A223" s="187">
        <v>321920</v>
      </c>
      <c r="B223" s="187" t="s">
        <v>513</v>
      </c>
    </row>
    <row r="224" spans="1:2" x14ac:dyDescent="0.25">
      <c r="A224" s="187">
        <v>321991</v>
      </c>
      <c r="B224" s="187" t="s">
        <v>514</v>
      </c>
    </row>
    <row r="225" spans="1:2" x14ac:dyDescent="0.25">
      <c r="A225" s="187">
        <v>321992</v>
      </c>
      <c r="B225" s="187" t="s">
        <v>515</v>
      </c>
    </row>
    <row r="226" spans="1:2" x14ac:dyDescent="0.25">
      <c r="A226" s="187">
        <v>321999</v>
      </c>
      <c r="B226" s="187" t="s">
        <v>516</v>
      </c>
    </row>
    <row r="227" spans="1:2" x14ac:dyDescent="0.25">
      <c r="A227" s="187">
        <v>322110</v>
      </c>
      <c r="B227" s="187" t="s">
        <v>517</v>
      </c>
    </row>
    <row r="228" spans="1:2" x14ac:dyDescent="0.25">
      <c r="A228" s="187">
        <v>322121</v>
      </c>
      <c r="B228" s="187" t="s">
        <v>518</v>
      </c>
    </row>
    <row r="229" spans="1:2" x14ac:dyDescent="0.25">
      <c r="A229" s="187">
        <v>322122</v>
      </c>
      <c r="B229" s="187" t="s">
        <v>519</v>
      </c>
    </row>
    <row r="230" spans="1:2" x14ac:dyDescent="0.25">
      <c r="A230" s="187">
        <v>322130</v>
      </c>
      <c r="B230" s="187" t="s">
        <v>520</v>
      </c>
    </row>
    <row r="231" spans="1:2" x14ac:dyDescent="0.25">
      <c r="A231" s="187">
        <v>322211</v>
      </c>
      <c r="B231" s="187" t="s">
        <v>521</v>
      </c>
    </row>
    <row r="232" spans="1:2" x14ac:dyDescent="0.25">
      <c r="A232" s="187">
        <v>322212</v>
      </c>
      <c r="B232" s="187" t="s">
        <v>522</v>
      </c>
    </row>
    <row r="233" spans="1:2" x14ac:dyDescent="0.25">
      <c r="A233" s="187">
        <v>322219</v>
      </c>
      <c r="B233" s="187" t="s">
        <v>523</v>
      </c>
    </row>
    <row r="234" spans="1:2" x14ac:dyDescent="0.25">
      <c r="A234" s="187">
        <v>322220</v>
      </c>
      <c r="B234" s="187" t="s">
        <v>524</v>
      </c>
    </row>
    <row r="235" spans="1:2" x14ac:dyDescent="0.25">
      <c r="A235" s="187">
        <v>322230</v>
      </c>
      <c r="B235" s="187" t="s">
        <v>525</v>
      </c>
    </row>
    <row r="236" spans="1:2" x14ac:dyDescent="0.25">
      <c r="A236" s="187">
        <v>322291</v>
      </c>
      <c r="B236" s="187" t="s">
        <v>526</v>
      </c>
    </row>
    <row r="237" spans="1:2" x14ac:dyDescent="0.25">
      <c r="A237" s="187">
        <v>322299</v>
      </c>
      <c r="B237" s="187" t="s">
        <v>527</v>
      </c>
    </row>
    <row r="238" spans="1:2" x14ac:dyDescent="0.25">
      <c r="A238" s="187">
        <v>323111</v>
      </c>
      <c r="B238" s="187" t="s">
        <v>528</v>
      </c>
    </row>
    <row r="239" spans="1:2" x14ac:dyDescent="0.25">
      <c r="A239" s="187">
        <v>323113</v>
      </c>
      <c r="B239" s="187" t="s">
        <v>529</v>
      </c>
    </row>
    <row r="240" spans="1:2" x14ac:dyDescent="0.25">
      <c r="A240" s="187">
        <v>323117</v>
      </c>
      <c r="B240" s="187" t="s">
        <v>530</v>
      </c>
    </row>
    <row r="241" spans="1:2" x14ac:dyDescent="0.25">
      <c r="A241" s="187">
        <v>323120</v>
      </c>
      <c r="B241" s="187" t="s">
        <v>531</v>
      </c>
    </row>
    <row r="242" spans="1:2" x14ac:dyDescent="0.25">
      <c r="A242" s="187">
        <v>324110</v>
      </c>
      <c r="B242" s="187" t="s">
        <v>532</v>
      </c>
    </row>
    <row r="243" spans="1:2" x14ac:dyDescent="0.25">
      <c r="A243" s="187">
        <v>324121</v>
      </c>
      <c r="B243" s="187" t="s">
        <v>533</v>
      </c>
    </row>
    <row r="244" spans="1:2" x14ac:dyDescent="0.25">
      <c r="A244" s="187">
        <v>324122</v>
      </c>
      <c r="B244" s="187" t="s">
        <v>534</v>
      </c>
    </row>
    <row r="245" spans="1:2" x14ac:dyDescent="0.25">
      <c r="A245" s="187">
        <v>324191</v>
      </c>
      <c r="B245" s="187" t="s">
        <v>535</v>
      </c>
    </row>
    <row r="246" spans="1:2" x14ac:dyDescent="0.25">
      <c r="A246" s="187">
        <v>324199</v>
      </c>
      <c r="B246" s="187" t="s">
        <v>536</v>
      </c>
    </row>
    <row r="247" spans="1:2" x14ac:dyDescent="0.25">
      <c r="A247" s="187">
        <v>325110</v>
      </c>
      <c r="B247" s="187" t="s">
        <v>537</v>
      </c>
    </row>
    <row r="248" spans="1:2" x14ac:dyDescent="0.25">
      <c r="A248" s="187">
        <v>325120</v>
      </c>
      <c r="B248" s="187" t="s">
        <v>538</v>
      </c>
    </row>
    <row r="249" spans="1:2" x14ac:dyDescent="0.25">
      <c r="A249" s="187">
        <v>325130</v>
      </c>
      <c r="B249" s="187" t="s">
        <v>539</v>
      </c>
    </row>
    <row r="250" spans="1:2" x14ac:dyDescent="0.25">
      <c r="A250" s="187">
        <v>325180</v>
      </c>
      <c r="B250" s="187" t="s">
        <v>540</v>
      </c>
    </row>
    <row r="251" spans="1:2" x14ac:dyDescent="0.25">
      <c r="A251" s="187">
        <v>325193</v>
      </c>
      <c r="B251" s="187" t="s">
        <v>541</v>
      </c>
    </row>
    <row r="252" spans="1:2" x14ac:dyDescent="0.25">
      <c r="A252" s="187">
        <v>325194</v>
      </c>
      <c r="B252" s="187" t="s">
        <v>542</v>
      </c>
    </row>
    <row r="253" spans="1:2" x14ac:dyDescent="0.25">
      <c r="A253" s="187">
        <v>325199</v>
      </c>
      <c r="B253" s="187" t="s">
        <v>543</v>
      </c>
    </row>
    <row r="254" spans="1:2" x14ac:dyDescent="0.25">
      <c r="A254" s="187">
        <v>325211</v>
      </c>
      <c r="B254" s="187" t="s">
        <v>544</v>
      </c>
    </row>
    <row r="255" spans="1:2" x14ac:dyDescent="0.25">
      <c r="A255" s="187">
        <v>325212</v>
      </c>
      <c r="B255" s="187" t="s">
        <v>545</v>
      </c>
    </row>
    <row r="256" spans="1:2" x14ac:dyDescent="0.25">
      <c r="A256" s="187">
        <v>325220</v>
      </c>
      <c r="B256" s="187" t="s">
        <v>546</v>
      </c>
    </row>
    <row r="257" spans="1:2" x14ac:dyDescent="0.25">
      <c r="A257" s="187">
        <v>325311</v>
      </c>
      <c r="B257" s="187" t="s">
        <v>547</v>
      </c>
    </row>
    <row r="258" spans="1:2" x14ac:dyDescent="0.25">
      <c r="A258" s="187">
        <v>325312</v>
      </c>
      <c r="B258" s="187" t="s">
        <v>548</v>
      </c>
    </row>
    <row r="259" spans="1:2" x14ac:dyDescent="0.25">
      <c r="A259" s="187">
        <v>325314</v>
      </c>
      <c r="B259" s="187" t="s">
        <v>549</v>
      </c>
    </row>
    <row r="260" spans="1:2" x14ac:dyDescent="0.25">
      <c r="A260" s="187">
        <v>325320</v>
      </c>
      <c r="B260" s="187" t="s">
        <v>550</v>
      </c>
    </row>
    <row r="261" spans="1:2" x14ac:dyDescent="0.25">
      <c r="A261" s="187">
        <v>325411</v>
      </c>
      <c r="B261" s="187" t="s">
        <v>551</v>
      </c>
    </row>
    <row r="262" spans="1:2" x14ac:dyDescent="0.25">
      <c r="A262" s="187">
        <v>325412</v>
      </c>
      <c r="B262" s="187" t="s">
        <v>552</v>
      </c>
    </row>
    <row r="263" spans="1:2" x14ac:dyDescent="0.25">
      <c r="A263" s="187">
        <v>325413</v>
      </c>
      <c r="B263" s="187" t="s">
        <v>553</v>
      </c>
    </row>
    <row r="264" spans="1:2" x14ac:dyDescent="0.25">
      <c r="A264" s="187">
        <v>325414</v>
      </c>
      <c r="B264" s="187" t="s">
        <v>554</v>
      </c>
    </row>
    <row r="265" spans="1:2" x14ac:dyDescent="0.25">
      <c r="A265" s="187">
        <v>325510</v>
      </c>
      <c r="B265" s="187" t="s">
        <v>555</v>
      </c>
    </row>
    <row r="266" spans="1:2" x14ac:dyDescent="0.25">
      <c r="A266" s="187">
        <v>325520</v>
      </c>
      <c r="B266" s="187" t="s">
        <v>556</v>
      </c>
    </row>
    <row r="267" spans="1:2" x14ac:dyDescent="0.25">
      <c r="A267" s="187">
        <v>325611</v>
      </c>
      <c r="B267" s="187" t="s">
        <v>557</v>
      </c>
    </row>
    <row r="268" spans="1:2" x14ac:dyDescent="0.25">
      <c r="A268" s="187">
        <v>325612</v>
      </c>
      <c r="B268" s="187" t="s">
        <v>558</v>
      </c>
    </row>
    <row r="269" spans="1:2" x14ac:dyDescent="0.25">
      <c r="A269" s="187">
        <v>325613</v>
      </c>
      <c r="B269" s="187" t="s">
        <v>559</v>
      </c>
    </row>
    <row r="270" spans="1:2" x14ac:dyDescent="0.25">
      <c r="A270" s="187">
        <v>325620</v>
      </c>
      <c r="B270" s="187" t="s">
        <v>560</v>
      </c>
    </row>
    <row r="271" spans="1:2" x14ac:dyDescent="0.25">
      <c r="A271" s="187">
        <v>325910</v>
      </c>
      <c r="B271" s="187" t="s">
        <v>561</v>
      </c>
    </row>
    <row r="272" spans="1:2" x14ac:dyDescent="0.25">
      <c r="A272" s="187">
        <v>325920</v>
      </c>
      <c r="B272" s="187" t="s">
        <v>562</v>
      </c>
    </row>
    <row r="273" spans="1:2" x14ac:dyDescent="0.25">
      <c r="A273" s="187">
        <v>325991</v>
      </c>
      <c r="B273" s="187" t="s">
        <v>563</v>
      </c>
    </row>
    <row r="274" spans="1:2" x14ac:dyDescent="0.25">
      <c r="A274" s="187">
        <v>325992</v>
      </c>
      <c r="B274" s="187" t="s">
        <v>564</v>
      </c>
    </row>
    <row r="275" spans="1:2" x14ac:dyDescent="0.25">
      <c r="A275" s="187">
        <v>325998</v>
      </c>
      <c r="B275" s="187" t="s">
        <v>565</v>
      </c>
    </row>
    <row r="276" spans="1:2" x14ac:dyDescent="0.25">
      <c r="A276" s="187">
        <v>326111</v>
      </c>
      <c r="B276" s="187" t="s">
        <v>566</v>
      </c>
    </row>
    <row r="277" spans="1:2" x14ac:dyDescent="0.25">
      <c r="A277" s="187">
        <v>326112</v>
      </c>
      <c r="B277" s="187" t="s">
        <v>567</v>
      </c>
    </row>
    <row r="278" spans="1:2" x14ac:dyDescent="0.25">
      <c r="A278" s="187">
        <v>326113</v>
      </c>
      <c r="B278" s="187" t="s">
        <v>568</v>
      </c>
    </row>
    <row r="279" spans="1:2" x14ac:dyDescent="0.25">
      <c r="A279" s="187">
        <v>326121</v>
      </c>
      <c r="B279" s="187" t="s">
        <v>569</v>
      </c>
    </row>
    <row r="280" spans="1:2" x14ac:dyDescent="0.25">
      <c r="A280" s="187">
        <v>326122</v>
      </c>
      <c r="B280" s="187" t="s">
        <v>570</v>
      </c>
    </row>
    <row r="281" spans="1:2" x14ac:dyDescent="0.25">
      <c r="A281" s="187">
        <v>326130</v>
      </c>
      <c r="B281" s="187" t="s">
        <v>571</v>
      </c>
    </row>
    <row r="282" spans="1:2" x14ac:dyDescent="0.25">
      <c r="A282" s="187">
        <v>326140</v>
      </c>
      <c r="B282" s="187" t="s">
        <v>572</v>
      </c>
    </row>
    <row r="283" spans="1:2" x14ac:dyDescent="0.25">
      <c r="A283" s="187">
        <v>326150</v>
      </c>
      <c r="B283" s="187" t="s">
        <v>573</v>
      </c>
    </row>
    <row r="284" spans="1:2" x14ac:dyDescent="0.25">
      <c r="A284" s="187">
        <v>326160</v>
      </c>
      <c r="B284" s="187" t="s">
        <v>574</v>
      </c>
    </row>
    <row r="285" spans="1:2" x14ac:dyDescent="0.25">
      <c r="A285" s="187">
        <v>326191</v>
      </c>
      <c r="B285" s="187" t="s">
        <v>575</v>
      </c>
    </row>
    <row r="286" spans="1:2" x14ac:dyDescent="0.25">
      <c r="A286" s="187">
        <v>326199</v>
      </c>
      <c r="B286" s="187" t="s">
        <v>576</v>
      </c>
    </row>
    <row r="287" spans="1:2" x14ac:dyDescent="0.25">
      <c r="A287" s="187">
        <v>326211</v>
      </c>
      <c r="B287" s="187" t="s">
        <v>577</v>
      </c>
    </row>
    <row r="288" spans="1:2" x14ac:dyDescent="0.25">
      <c r="A288" s="187">
        <v>326212</v>
      </c>
      <c r="B288" s="187" t="s">
        <v>578</v>
      </c>
    </row>
    <row r="289" spans="1:2" x14ac:dyDescent="0.25">
      <c r="A289" s="187">
        <v>326220</v>
      </c>
      <c r="B289" s="187" t="s">
        <v>579</v>
      </c>
    </row>
    <row r="290" spans="1:2" x14ac:dyDescent="0.25">
      <c r="A290" s="187">
        <v>326291</v>
      </c>
      <c r="B290" s="187" t="s">
        <v>580</v>
      </c>
    </row>
    <row r="291" spans="1:2" x14ac:dyDescent="0.25">
      <c r="A291" s="187">
        <v>326299</v>
      </c>
      <c r="B291" s="187" t="s">
        <v>581</v>
      </c>
    </row>
    <row r="292" spans="1:2" x14ac:dyDescent="0.25">
      <c r="A292" s="187">
        <v>327110</v>
      </c>
      <c r="B292" s="187" t="s">
        <v>582</v>
      </c>
    </row>
    <row r="293" spans="1:2" x14ac:dyDescent="0.25">
      <c r="A293" s="187">
        <v>327120</v>
      </c>
      <c r="B293" s="187" t="s">
        <v>583</v>
      </c>
    </row>
    <row r="294" spans="1:2" x14ac:dyDescent="0.25">
      <c r="A294" s="187">
        <v>327211</v>
      </c>
      <c r="B294" s="187" t="s">
        <v>584</v>
      </c>
    </row>
    <row r="295" spans="1:2" x14ac:dyDescent="0.25">
      <c r="A295" s="187">
        <v>327212</v>
      </c>
      <c r="B295" s="187" t="s">
        <v>585</v>
      </c>
    </row>
    <row r="296" spans="1:2" x14ac:dyDescent="0.25">
      <c r="A296" s="187">
        <v>327213</v>
      </c>
      <c r="B296" s="187" t="s">
        <v>586</v>
      </c>
    </row>
    <row r="297" spans="1:2" x14ac:dyDescent="0.25">
      <c r="A297" s="187">
        <v>327215</v>
      </c>
      <c r="B297" s="187" t="s">
        <v>587</v>
      </c>
    </row>
    <row r="298" spans="1:2" x14ac:dyDescent="0.25">
      <c r="A298" s="187">
        <v>327310</v>
      </c>
      <c r="B298" s="187" t="s">
        <v>588</v>
      </c>
    </row>
    <row r="299" spans="1:2" x14ac:dyDescent="0.25">
      <c r="A299" s="187">
        <v>327320</v>
      </c>
      <c r="B299" s="187" t="s">
        <v>589</v>
      </c>
    </row>
    <row r="300" spans="1:2" x14ac:dyDescent="0.25">
      <c r="A300" s="187">
        <v>327331</v>
      </c>
      <c r="B300" s="187" t="s">
        <v>590</v>
      </c>
    </row>
    <row r="301" spans="1:2" x14ac:dyDescent="0.25">
      <c r="A301" s="187">
        <v>327332</v>
      </c>
      <c r="B301" s="187" t="s">
        <v>591</v>
      </c>
    </row>
    <row r="302" spans="1:2" x14ac:dyDescent="0.25">
      <c r="A302" s="187">
        <v>327390</v>
      </c>
      <c r="B302" s="187" t="s">
        <v>592</v>
      </c>
    </row>
    <row r="303" spans="1:2" x14ac:dyDescent="0.25">
      <c r="A303" s="187">
        <v>327410</v>
      </c>
      <c r="B303" s="187" t="s">
        <v>593</v>
      </c>
    </row>
    <row r="304" spans="1:2" x14ac:dyDescent="0.25">
      <c r="A304" s="187">
        <v>327420</v>
      </c>
      <c r="B304" s="187" t="s">
        <v>594</v>
      </c>
    </row>
    <row r="305" spans="1:2" x14ac:dyDescent="0.25">
      <c r="A305" s="187">
        <v>327910</v>
      </c>
      <c r="B305" s="187" t="s">
        <v>595</v>
      </c>
    </row>
    <row r="306" spans="1:2" x14ac:dyDescent="0.25">
      <c r="A306" s="187">
        <v>327991</v>
      </c>
      <c r="B306" s="187" t="s">
        <v>596</v>
      </c>
    </row>
    <row r="307" spans="1:2" x14ac:dyDescent="0.25">
      <c r="A307" s="187">
        <v>327992</v>
      </c>
      <c r="B307" s="187" t="s">
        <v>597</v>
      </c>
    </row>
    <row r="308" spans="1:2" x14ac:dyDescent="0.25">
      <c r="A308" s="187">
        <v>327993</v>
      </c>
      <c r="B308" s="187" t="s">
        <v>598</v>
      </c>
    </row>
    <row r="309" spans="1:2" x14ac:dyDescent="0.25">
      <c r="A309" s="187">
        <v>327999</v>
      </c>
      <c r="B309" s="187" t="s">
        <v>599</v>
      </c>
    </row>
    <row r="310" spans="1:2" x14ac:dyDescent="0.25">
      <c r="A310" s="187">
        <v>331110</v>
      </c>
      <c r="B310" s="187" t="s">
        <v>600</v>
      </c>
    </row>
    <row r="311" spans="1:2" x14ac:dyDescent="0.25">
      <c r="A311" s="187">
        <v>331210</v>
      </c>
      <c r="B311" s="187" t="s">
        <v>601</v>
      </c>
    </row>
    <row r="312" spans="1:2" x14ac:dyDescent="0.25">
      <c r="A312" s="187">
        <v>331221</v>
      </c>
      <c r="B312" s="187" t="s">
        <v>602</v>
      </c>
    </row>
    <row r="313" spans="1:2" x14ac:dyDescent="0.25">
      <c r="A313" s="187">
        <v>331222</v>
      </c>
      <c r="B313" s="187" t="s">
        <v>603</v>
      </c>
    </row>
    <row r="314" spans="1:2" x14ac:dyDescent="0.25">
      <c r="A314" s="187">
        <v>331313</v>
      </c>
      <c r="B314" s="187" t="s">
        <v>604</v>
      </c>
    </row>
    <row r="315" spans="1:2" x14ac:dyDescent="0.25">
      <c r="A315" s="187">
        <v>331314</v>
      </c>
      <c r="B315" s="187" t="s">
        <v>605</v>
      </c>
    </row>
    <row r="316" spans="1:2" x14ac:dyDescent="0.25">
      <c r="A316" s="187">
        <v>331315</v>
      </c>
      <c r="B316" s="187" t="s">
        <v>606</v>
      </c>
    </row>
    <row r="317" spans="1:2" x14ac:dyDescent="0.25">
      <c r="A317" s="187">
        <v>331318</v>
      </c>
      <c r="B317" s="187" t="s">
        <v>607</v>
      </c>
    </row>
    <row r="318" spans="1:2" x14ac:dyDescent="0.25">
      <c r="A318" s="187">
        <v>331410</v>
      </c>
      <c r="B318" s="187" t="s">
        <v>608</v>
      </c>
    </row>
    <row r="319" spans="1:2" x14ac:dyDescent="0.25">
      <c r="A319" s="187">
        <v>331420</v>
      </c>
      <c r="B319" s="187" t="s">
        <v>609</v>
      </c>
    </row>
    <row r="320" spans="1:2" x14ac:dyDescent="0.25">
      <c r="A320" s="187">
        <v>331491</v>
      </c>
      <c r="B320" s="187" t="s">
        <v>610</v>
      </c>
    </row>
    <row r="321" spans="1:2" x14ac:dyDescent="0.25">
      <c r="A321" s="187">
        <v>331492</v>
      </c>
      <c r="B321" s="187" t="s">
        <v>611</v>
      </c>
    </row>
    <row r="322" spans="1:2" x14ac:dyDescent="0.25">
      <c r="A322" s="187">
        <v>331511</v>
      </c>
      <c r="B322" s="187" t="s">
        <v>612</v>
      </c>
    </row>
    <row r="323" spans="1:2" x14ac:dyDescent="0.25">
      <c r="A323" s="187">
        <v>331512</v>
      </c>
      <c r="B323" s="187" t="s">
        <v>613</v>
      </c>
    </row>
    <row r="324" spans="1:2" x14ac:dyDescent="0.25">
      <c r="A324" s="187">
        <v>331513</v>
      </c>
      <c r="B324" s="187" t="s">
        <v>614</v>
      </c>
    </row>
    <row r="325" spans="1:2" x14ac:dyDescent="0.25">
      <c r="A325" s="187">
        <v>331523</v>
      </c>
      <c r="B325" s="187" t="s">
        <v>615</v>
      </c>
    </row>
    <row r="326" spans="1:2" x14ac:dyDescent="0.25">
      <c r="A326" s="187">
        <v>331524</v>
      </c>
      <c r="B326" s="187" t="s">
        <v>616</v>
      </c>
    </row>
    <row r="327" spans="1:2" x14ac:dyDescent="0.25">
      <c r="A327" s="187">
        <v>331529</v>
      </c>
      <c r="B327" s="187" t="s">
        <v>617</v>
      </c>
    </row>
    <row r="328" spans="1:2" x14ac:dyDescent="0.25">
      <c r="A328" s="187">
        <v>332111</v>
      </c>
      <c r="B328" s="187" t="s">
        <v>618</v>
      </c>
    </row>
    <row r="329" spans="1:2" x14ac:dyDescent="0.25">
      <c r="A329" s="187">
        <v>332112</v>
      </c>
      <c r="B329" s="187" t="s">
        <v>619</v>
      </c>
    </row>
    <row r="330" spans="1:2" x14ac:dyDescent="0.25">
      <c r="A330" s="187">
        <v>332114</v>
      </c>
      <c r="B330" s="187" t="s">
        <v>620</v>
      </c>
    </row>
    <row r="331" spans="1:2" x14ac:dyDescent="0.25">
      <c r="A331" s="187">
        <v>332117</v>
      </c>
      <c r="B331" s="187" t="s">
        <v>621</v>
      </c>
    </row>
    <row r="332" spans="1:2" x14ac:dyDescent="0.25">
      <c r="A332" s="187">
        <v>332119</v>
      </c>
      <c r="B332" s="187" t="s">
        <v>622</v>
      </c>
    </row>
    <row r="333" spans="1:2" x14ac:dyDescent="0.25">
      <c r="A333" s="187">
        <v>332215</v>
      </c>
      <c r="B333" s="187" t="s">
        <v>623</v>
      </c>
    </row>
    <row r="334" spans="1:2" x14ac:dyDescent="0.25">
      <c r="A334" s="187">
        <v>332216</v>
      </c>
      <c r="B334" s="187" t="s">
        <v>624</v>
      </c>
    </row>
    <row r="335" spans="1:2" x14ac:dyDescent="0.25">
      <c r="A335" s="187">
        <v>332311</v>
      </c>
      <c r="B335" s="187" t="s">
        <v>625</v>
      </c>
    </row>
    <row r="336" spans="1:2" x14ac:dyDescent="0.25">
      <c r="A336" s="187">
        <v>332312</v>
      </c>
      <c r="B336" s="187" t="s">
        <v>626</v>
      </c>
    </row>
    <row r="337" spans="1:2" x14ac:dyDescent="0.25">
      <c r="A337" s="187">
        <v>332313</v>
      </c>
      <c r="B337" s="187" t="s">
        <v>627</v>
      </c>
    </row>
    <row r="338" spans="1:2" x14ac:dyDescent="0.25">
      <c r="A338" s="187">
        <v>332321</v>
      </c>
      <c r="B338" s="187" t="s">
        <v>628</v>
      </c>
    </row>
    <row r="339" spans="1:2" x14ac:dyDescent="0.25">
      <c r="A339" s="187">
        <v>332322</v>
      </c>
      <c r="B339" s="187" t="s">
        <v>629</v>
      </c>
    </row>
    <row r="340" spans="1:2" x14ac:dyDescent="0.25">
      <c r="A340" s="187">
        <v>332323</v>
      </c>
      <c r="B340" s="187" t="s">
        <v>630</v>
      </c>
    </row>
    <row r="341" spans="1:2" x14ac:dyDescent="0.25">
      <c r="A341" s="187">
        <v>332410</v>
      </c>
      <c r="B341" s="187" t="s">
        <v>631</v>
      </c>
    </row>
    <row r="342" spans="1:2" x14ac:dyDescent="0.25">
      <c r="A342" s="187">
        <v>332420</v>
      </c>
      <c r="B342" s="187" t="s">
        <v>632</v>
      </c>
    </row>
    <row r="343" spans="1:2" x14ac:dyDescent="0.25">
      <c r="A343" s="187">
        <v>332431</v>
      </c>
      <c r="B343" s="187" t="s">
        <v>633</v>
      </c>
    </row>
    <row r="344" spans="1:2" x14ac:dyDescent="0.25">
      <c r="A344" s="187">
        <v>332439</v>
      </c>
      <c r="B344" s="187" t="s">
        <v>634</v>
      </c>
    </row>
    <row r="345" spans="1:2" x14ac:dyDescent="0.25">
      <c r="A345" s="187">
        <v>332510</v>
      </c>
      <c r="B345" s="187" t="s">
        <v>635</v>
      </c>
    </row>
    <row r="346" spans="1:2" x14ac:dyDescent="0.25">
      <c r="A346" s="187">
        <v>332613</v>
      </c>
      <c r="B346" s="187" t="s">
        <v>636</v>
      </c>
    </row>
    <row r="347" spans="1:2" x14ac:dyDescent="0.25">
      <c r="A347" s="187">
        <v>332618</v>
      </c>
      <c r="B347" s="187" t="s">
        <v>637</v>
      </c>
    </row>
    <row r="348" spans="1:2" x14ac:dyDescent="0.25">
      <c r="A348" s="187">
        <v>332710</v>
      </c>
      <c r="B348" s="187" t="s">
        <v>638</v>
      </c>
    </row>
    <row r="349" spans="1:2" x14ac:dyDescent="0.25">
      <c r="A349" s="187">
        <v>332721</v>
      </c>
      <c r="B349" s="187" t="s">
        <v>639</v>
      </c>
    </row>
    <row r="350" spans="1:2" x14ac:dyDescent="0.25">
      <c r="A350" s="187">
        <v>332722</v>
      </c>
      <c r="B350" s="187" t="s">
        <v>640</v>
      </c>
    </row>
    <row r="351" spans="1:2" x14ac:dyDescent="0.25">
      <c r="A351" s="187">
        <v>332811</v>
      </c>
      <c r="B351" s="187" t="s">
        <v>641</v>
      </c>
    </row>
    <row r="352" spans="1:2" x14ac:dyDescent="0.25">
      <c r="A352" s="187">
        <v>332812</v>
      </c>
      <c r="B352" s="187" t="s">
        <v>642</v>
      </c>
    </row>
    <row r="353" spans="1:2" x14ac:dyDescent="0.25">
      <c r="A353" s="187">
        <v>332813</v>
      </c>
      <c r="B353" s="187" t="s">
        <v>643</v>
      </c>
    </row>
    <row r="354" spans="1:2" x14ac:dyDescent="0.25">
      <c r="A354" s="187">
        <v>332911</v>
      </c>
      <c r="B354" s="187" t="s">
        <v>644</v>
      </c>
    </row>
    <row r="355" spans="1:2" x14ac:dyDescent="0.25">
      <c r="A355" s="187">
        <v>332912</v>
      </c>
      <c r="B355" s="187" t="s">
        <v>645</v>
      </c>
    </row>
    <row r="356" spans="1:2" x14ac:dyDescent="0.25">
      <c r="A356" s="187">
        <v>332913</v>
      </c>
      <c r="B356" s="187" t="s">
        <v>646</v>
      </c>
    </row>
    <row r="357" spans="1:2" x14ac:dyDescent="0.25">
      <c r="A357" s="187">
        <v>332919</v>
      </c>
      <c r="B357" s="187" t="s">
        <v>647</v>
      </c>
    </row>
    <row r="358" spans="1:2" x14ac:dyDescent="0.25">
      <c r="A358" s="187">
        <v>332991</v>
      </c>
      <c r="B358" s="187" t="s">
        <v>648</v>
      </c>
    </row>
    <row r="359" spans="1:2" x14ac:dyDescent="0.25">
      <c r="A359" s="187">
        <v>332992</v>
      </c>
      <c r="B359" s="187" t="s">
        <v>649</v>
      </c>
    </row>
    <row r="360" spans="1:2" x14ac:dyDescent="0.25">
      <c r="A360" s="187">
        <v>332993</v>
      </c>
      <c r="B360" s="187" t="s">
        <v>650</v>
      </c>
    </row>
    <row r="361" spans="1:2" x14ac:dyDescent="0.25">
      <c r="A361" s="187">
        <v>332994</v>
      </c>
      <c r="B361" s="187" t="s">
        <v>651</v>
      </c>
    </row>
    <row r="362" spans="1:2" x14ac:dyDescent="0.25">
      <c r="A362" s="187">
        <v>332996</v>
      </c>
      <c r="B362" s="187" t="s">
        <v>652</v>
      </c>
    </row>
    <row r="363" spans="1:2" x14ac:dyDescent="0.25">
      <c r="A363" s="187">
        <v>332999</v>
      </c>
      <c r="B363" s="187" t="s">
        <v>653</v>
      </c>
    </row>
    <row r="364" spans="1:2" x14ac:dyDescent="0.25">
      <c r="A364" s="187">
        <v>333111</v>
      </c>
      <c r="B364" s="187" t="s">
        <v>654</v>
      </c>
    </row>
    <row r="365" spans="1:2" x14ac:dyDescent="0.25">
      <c r="A365" s="187">
        <v>333112</v>
      </c>
      <c r="B365" s="187" t="s">
        <v>655</v>
      </c>
    </row>
    <row r="366" spans="1:2" x14ac:dyDescent="0.25">
      <c r="A366" s="187">
        <v>333120</v>
      </c>
      <c r="B366" s="187" t="s">
        <v>656</v>
      </c>
    </row>
    <row r="367" spans="1:2" x14ac:dyDescent="0.25">
      <c r="A367" s="187">
        <v>333131</v>
      </c>
      <c r="B367" s="187" t="s">
        <v>657</v>
      </c>
    </row>
    <row r="368" spans="1:2" x14ac:dyDescent="0.25">
      <c r="A368" s="187">
        <v>333132</v>
      </c>
      <c r="B368" s="187" t="s">
        <v>658</v>
      </c>
    </row>
    <row r="369" spans="1:2" x14ac:dyDescent="0.25">
      <c r="A369" s="187">
        <v>333241</v>
      </c>
      <c r="B369" s="187" t="s">
        <v>659</v>
      </c>
    </row>
    <row r="370" spans="1:2" x14ac:dyDescent="0.25">
      <c r="A370" s="187">
        <v>333242</v>
      </c>
      <c r="B370" s="187" t="s">
        <v>660</v>
      </c>
    </row>
    <row r="371" spans="1:2" x14ac:dyDescent="0.25">
      <c r="A371" s="187">
        <v>333243</v>
      </c>
      <c r="B371" s="187" t="s">
        <v>661</v>
      </c>
    </row>
    <row r="372" spans="1:2" x14ac:dyDescent="0.25">
      <c r="A372" s="187">
        <v>333244</v>
      </c>
      <c r="B372" s="187" t="s">
        <v>662</v>
      </c>
    </row>
    <row r="373" spans="1:2" x14ac:dyDescent="0.25">
      <c r="A373" s="187">
        <v>333249</v>
      </c>
      <c r="B373" s="187" t="s">
        <v>663</v>
      </c>
    </row>
    <row r="374" spans="1:2" x14ac:dyDescent="0.25">
      <c r="A374" s="187">
        <v>333314</v>
      </c>
      <c r="B374" s="187" t="s">
        <v>664</v>
      </c>
    </row>
    <row r="375" spans="1:2" x14ac:dyDescent="0.25">
      <c r="A375" s="187">
        <v>333316</v>
      </c>
      <c r="B375" s="187" t="s">
        <v>665</v>
      </c>
    </row>
    <row r="376" spans="1:2" x14ac:dyDescent="0.25">
      <c r="A376" s="187">
        <v>333318</v>
      </c>
      <c r="B376" s="187" t="s">
        <v>666</v>
      </c>
    </row>
    <row r="377" spans="1:2" x14ac:dyDescent="0.25">
      <c r="A377" s="187">
        <v>333413</v>
      </c>
      <c r="B377" s="187" t="s">
        <v>667</v>
      </c>
    </row>
    <row r="378" spans="1:2" x14ac:dyDescent="0.25">
      <c r="A378" s="187">
        <v>333414</v>
      </c>
      <c r="B378" s="187" t="s">
        <v>668</v>
      </c>
    </row>
    <row r="379" spans="1:2" x14ac:dyDescent="0.25">
      <c r="A379" s="187">
        <v>333415</v>
      </c>
      <c r="B379" s="187" t="s">
        <v>669</v>
      </c>
    </row>
    <row r="380" spans="1:2" x14ac:dyDescent="0.25">
      <c r="A380" s="187">
        <v>333511</v>
      </c>
      <c r="B380" s="187" t="s">
        <v>670</v>
      </c>
    </row>
    <row r="381" spans="1:2" x14ac:dyDescent="0.25">
      <c r="A381" s="187">
        <v>333514</v>
      </c>
      <c r="B381" s="187" t="s">
        <v>671</v>
      </c>
    </row>
    <row r="382" spans="1:2" x14ac:dyDescent="0.25">
      <c r="A382" s="187">
        <v>333515</v>
      </c>
      <c r="B382" s="187" t="s">
        <v>672</v>
      </c>
    </row>
    <row r="383" spans="1:2" x14ac:dyDescent="0.25">
      <c r="A383" s="187">
        <v>333517</v>
      </c>
      <c r="B383" s="187" t="s">
        <v>673</v>
      </c>
    </row>
    <row r="384" spans="1:2" x14ac:dyDescent="0.25">
      <c r="A384" s="187">
        <v>333519</v>
      </c>
      <c r="B384" s="187" t="s">
        <v>674</v>
      </c>
    </row>
    <row r="385" spans="1:2" x14ac:dyDescent="0.25">
      <c r="A385" s="187">
        <v>333611</v>
      </c>
      <c r="B385" s="187" t="s">
        <v>675</v>
      </c>
    </row>
    <row r="386" spans="1:2" x14ac:dyDescent="0.25">
      <c r="A386" s="187">
        <v>333612</v>
      </c>
      <c r="B386" s="187" t="s">
        <v>676</v>
      </c>
    </row>
    <row r="387" spans="1:2" x14ac:dyDescent="0.25">
      <c r="A387" s="187">
        <v>333613</v>
      </c>
      <c r="B387" s="187" t="s">
        <v>677</v>
      </c>
    </row>
    <row r="388" spans="1:2" x14ac:dyDescent="0.25">
      <c r="A388" s="187">
        <v>333618</v>
      </c>
      <c r="B388" s="187" t="s">
        <v>678</v>
      </c>
    </row>
    <row r="389" spans="1:2" x14ac:dyDescent="0.25">
      <c r="A389" s="187">
        <v>333912</v>
      </c>
      <c r="B389" s="187" t="s">
        <v>679</v>
      </c>
    </row>
    <row r="390" spans="1:2" x14ac:dyDescent="0.25">
      <c r="A390" s="187">
        <v>333914</v>
      </c>
      <c r="B390" s="187" t="s">
        <v>2375</v>
      </c>
    </row>
    <row r="391" spans="1:2" x14ac:dyDescent="0.25">
      <c r="A391" s="187">
        <v>333921</v>
      </c>
      <c r="B391" s="187" t="s">
        <v>680</v>
      </c>
    </row>
    <row r="392" spans="1:2" x14ac:dyDescent="0.25">
      <c r="A392" s="187">
        <v>333922</v>
      </c>
      <c r="B392" s="187" t="s">
        <v>681</v>
      </c>
    </row>
    <row r="393" spans="1:2" x14ac:dyDescent="0.25">
      <c r="A393" s="187">
        <v>333923</v>
      </c>
      <c r="B393" s="187" t="s">
        <v>682</v>
      </c>
    </row>
    <row r="394" spans="1:2" x14ac:dyDescent="0.25">
      <c r="A394" s="187">
        <v>333924</v>
      </c>
      <c r="B394" s="187" t="s">
        <v>683</v>
      </c>
    </row>
    <row r="395" spans="1:2" x14ac:dyDescent="0.25">
      <c r="A395" s="187">
        <v>333991</v>
      </c>
      <c r="B395" s="187" t="s">
        <v>684</v>
      </c>
    </row>
    <row r="396" spans="1:2" x14ac:dyDescent="0.25">
      <c r="A396" s="187">
        <v>333992</v>
      </c>
      <c r="B396" s="187" t="s">
        <v>685</v>
      </c>
    </row>
    <row r="397" spans="1:2" x14ac:dyDescent="0.25">
      <c r="A397" s="187">
        <v>333993</v>
      </c>
      <c r="B397" s="187" t="s">
        <v>686</v>
      </c>
    </row>
    <row r="398" spans="1:2" x14ac:dyDescent="0.25">
      <c r="A398" s="187">
        <v>333994</v>
      </c>
      <c r="B398" s="187" t="s">
        <v>687</v>
      </c>
    </row>
    <row r="399" spans="1:2" x14ac:dyDescent="0.25">
      <c r="A399" s="187">
        <v>333995</v>
      </c>
      <c r="B399" s="187" t="s">
        <v>688</v>
      </c>
    </row>
    <row r="400" spans="1:2" x14ac:dyDescent="0.25">
      <c r="A400" s="187">
        <v>333996</v>
      </c>
      <c r="B400" s="187" t="s">
        <v>689</v>
      </c>
    </row>
    <row r="401" spans="1:2" x14ac:dyDescent="0.25">
      <c r="A401" s="187">
        <v>333997</v>
      </c>
      <c r="B401" s="187" t="s">
        <v>690</v>
      </c>
    </row>
    <row r="402" spans="1:2" x14ac:dyDescent="0.25">
      <c r="A402" s="187">
        <v>333999</v>
      </c>
      <c r="B402" s="187" t="s">
        <v>691</v>
      </c>
    </row>
    <row r="403" spans="1:2" x14ac:dyDescent="0.25">
      <c r="A403" s="187">
        <v>334111</v>
      </c>
      <c r="B403" s="187" t="s">
        <v>692</v>
      </c>
    </row>
    <row r="404" spans="1:2" x14ac:dyDescent="0.25">
      <c r="A404" s="187">
        <v>334112</v>
      </c>
      <c r="B404" s="187" t="s">
        <v>693</v>
      </c>
    </row>
    <row r="405" spans="1:2" x14ac:dyDescent="0.25">
      <c r="A405" s="187">
        <v>334118</v>
      </c>
      <c r="B405" s="187" t="s">
        <v>694</v>
      </c>
    </row>
    <row r="406" spans="1:2" x14ac:dyDescent="0.25">
      <c r="A406" s="187">
        <v>334210</v>
      </c>
      <c r="B406" s="187" t="s">
        <v>695</v>
      </c>
    </row>
    <row r="407" spans="1:2" x14ac:dyDescent="0.25">
      <c r="A407" s="187">
        <v>334220</v>
      </c>
      <c r="B407" s="187" t="s">
        <v>696</v>
      </c>
    </row>
    <row r="408" spans="1:2" x14ac:dyDescent="0.25">
      <c r="A408" s="187">
        <v>334290</v>
      </c>
      <c r="B408" s="187" t="s">
        <v>697</v>
      </c>
    </row>
    <row r="409" spans="1:2" x14ac:dyDescent="0.25">
      <c r="A409" s="187">
        <v>334310</v>
      </c>
      <c r="B409" s="187" t="s">
        <v>698</v>
      </c>
    </row>
    <row r="410" spans="1:2" x14ac:dyDescent="0.25">
      <c r="A410" s="187">
        <v>334412</v>
      </c>
      <c r="B410" s="187" t="s">
        <v>699</v>
      </c>
    </row>
    <row r="411" spans="1:2" x14ac:dyDescent="0.25">
      <c r="A411" s="187">
        <v>334413</v>
      </c>
      <c r="B411" s="187" t="s">
        <v>700</v>
      </c>
    </row>
    <row r="412" spans="1:2" x14ac:dyDescent="0.25">
      <c r="A412" s="187">
        <v>334416</v>
      </c>
      <c r="B412" s="187" t="s">
        <v>701</v>
      </c>
    </row>
    <row r="413" spans="1:2" x14ac:dyDescent="0.25">
      <c r="A413" s="187">
        <v>334417</v>
      </c>
      <c r="B413" s="187" t="s">
        <v>702</v>
      </c>
    </row>
    <row r="414" spans="1:2" x14ac:dyDescent="0.25">
      <c r="A414" s="187">
        <v>334418</v>
      </c>
      <c r="B414" s="187" t="s">
        <v>703</v>
      </c>
    </row>
    <row r="415" spans="1:2" x14ac:dyDescent="0.25">
      <c r="A415" s="187">
        <v>334419</v>
      </c>
      <c r="B415" s="187" t="s">
        <v>704</v>
      </c>
    </row>
    <row r="416" spans="1:2" x14ac:dyDescent="0.25">
      <c r="A416" s="187">
        <v>334510</v>
      </c>
      <c r="B416" s="187" t="s">
        <v>705</v>
      </c>
    </row>
    <row r="417" spans="1:2" x14ac:dyDescent="0.25">
      <c r="A417" s="187">
        <v>334511</v>
      </c>
      <c r="B417" s="187" t="s">
        <v>706</v>
      </c>
    </row>
    <row r="418" spans="1:2" x14ac:dyDescent="0.25">
      <c r="A418" s="187">
        <v>334512</v>
      </c>
      <c r="B418" s="187" t="s">
        <v>707</v>
      </c>
    </row>
    <row r="419" spans="1:2" x14ac:dyDescent="0.25">
      <c r="A419" s="187">
        <v>334513</v>
      </c>
      <c r="B419" s="187" t="s">
        <v>708</v>
      </c>
    </row>
    <row r="420" spans="1:2" x14ac:dyDescent="0.25">
      <c r="A420" s="187">
        <v>334514</v>
      </c>
      <c r="B420" s="187" t="s">
        <v>709</v>
      </c>
    </row>
    <row r="421" spans="1:2" x14ac:dyDescent="0.25">
      <c r="A421" s="187">
        <v>334515</v>
      </c>
      <c r="B421" s="187" t="s">
        <v>710</v>
      </c>
    </row>
    <row r="422" spans="1:2" x14ac:dyDescent="0.25">
      <c r="A422" s="187">
        <v>334516</v>
      </c>
      <c r="B422" s="187" t="s">
        <v>711</v>
      </c>
    </row>
    <row r="423" spans="1:2" x14ac:dyDescent="0.25">
      <c r="A423" s="187">
        <v>334517</v>
      </c>
      <c r="B423" s="187" t="s">
        <v>712</v>
      </c>
    </row>
    <row r="424" spans="1:2" x14ac:dyDescent="0.25">
      <c r="A424" s="187">
        <v>334519</v>
      </c>
      <c r="B424" s="187" t="s">
        <v>713</v>
      </c>
    </row>
    <row r="425" spans="1:2" x14ac:dyDescent="0.25">
      <c r="A425" s="187">
        <v>334613</v>
      </c>
      <c r="B425" s="187" t="s">
        <v>714</v>
      </c>
    </row>
    <row r="426" spans="1:2" x14ac:dyDescent="0.25">
      <c r="A426" s="187">
        <v>334614</v>
      </c>
      <c r="B426" s="187" t="s">
        <v>715</v>
      </c>
    </row>
    <row r="427" spans="1:2" x14ac:dyDescent="0.25">
      <c r="A427" s="187">
        <v>335110</v>
      </c>
      <c r="B427" s="187" t="s">
        <v>716</v>
      </c>
    </row>
    <row r="428" spans="1:2" x14ac:dyDescent="0.25">
      <c r="A428" s="187">
        <v>335121</v>
      </c>
      <c r="B428" s="187" t="s">
        <v>717</v>
      </c>
    </row>
    <row r="429" spans="1:2" x14ac:dyDescent="0.25">
      <c r="A429" s="187">
        <v>335122</v>
      </c>
      <c r="B429" s="187" t="s">
        <v>718</v>
      </c>
    </row>
    <row r="430" spans="1:2" x14ac:dyDescent="0.25">
      <c r="A430" s="187">
        <v>335129</v>
      </c>
      <c r="B430" s="187" t="s">
        <v>719</v>
      </c>
    </row>
    <row r="431" spans="1:2" x14ac:dyDescent="0.25">
      <c r="A431" s="187">
        <v>335210</v>
      </c>
      <c r="B431" s="187" t="s">
        <v>720</v>
      </c>
    </row>
    <row r="432" spans="1:2" x14ac:dyDescent="0.25">
      <c r="A432" s="187">
        <v>335220</v>
      </c>
      <c r="B432" s="187" t="s">
        <v>2376</v>
      </c>
    </row>
    <row r="433" spans="1:2" x14ac:dyDescent="0.25">
      <c r="A433" s="187">
        <v>335311</v>
      </c>
      <c r="B433" s="187" t="s">
        <v>721</v>
      </c>
    </row>
    <row r="434" spans="1:2" x14ac:dyDescent="0.25">
      <c r="A434" s="187">
        <v>335312</v>
      </c>
      <c r="B434" s="187" t="s">
        <v>722</v>
      </c>
    </row>
    <row r="435" spans="1:2" x14ac:dyDescent="0.25">
      <c r="A435" s="187">
        <v>335313</v>
      </c>
      <c r="B435" s="187" t="s">
        <v>723</v>
      </c>
    </row>
    <row r="436" spans="1:2" x14ac:dyDescent="0.25">
      <c r="A436" s="187">
        <v>335314</v>
      </c>
      <c r="B436" s="187" t="s">
        <v>724</v>
      </c>
    </row>
    <row r="437" spans="1:2" x14ac:dyDescent="0.25">
      <c r="A437" s="187">
        <v>335911</v>
      </c>
      <c r="B437" s="187" t="s">
        <v>725</v>
      </c>
    </row>
    <row r="438" spans="1:2" x14ac:dyDescent="0.25">
      <c r="A438" s="187">
        <v>335912</v>
      </c>
      <c r="B438" s="187" t="s">
        <v>726</v>
      </c>
    </row>
    <row r="439" spans="1:2" x14ac:dyDescent="0.25">
      <c r="A439" s="187">
        <v>335921</v>
      </c>
      <c r="B439" s="187" t="s">
        <v>727</v>
      </c>
    </row>
    <row r="440" spans="1:2" x14ac:dyDescent="0.25">
      <c r="A440" s="187">
        <v>335929</v>
      </c>
      <c r="B440" s="187" t="s">
        <v>728</v>
      </c>
    </row>
    <row r="441" spans="1:2" x14ac:dyDescent="0.25">
      <c r="A441" s="187">
        <v>335931</v>
      </c>
      <c r="B441" s="187" t="s">
        <v>729</v>
      </c>
    </row>
    <row r="442" spans="1:2" x14ac:dyDescent="0.25">
      <c r="A442" s="187">
        <v>335932</v>
      </c>
      <c r="B442" s="187" t="s">
        <v>730</v>
      </c>
    </row>
    <row r="443" spans="1:2" x14ac:dyDescent="0.25">
      <c r="A443" s="187">
        <v>335991</v>
      </c>
      <c r="B443" s="187" t="s">
        <v>731</v>
      </c>
    </row>
    <row r="444" spans="1:2" x14ac:dyDescent="0.25">
      <c r="A444" s="187">
        <v>335999</v>
      </c>
      <c r="B444" s="187" t="s">
        <v>732</v>
      </c>
    </row>
    <row r="445" spans="1:2" x14ac:dyDescent="0.25">
      <c r="A445" s="187">
        <v>336111</v>
      </c>
      <c r="B445" s="187" t="s">
        <v>733</v>
      </c>
    </row>
    <row r="446" spans="1:2" x14ac:dyDescent="0.25">
      <c r="A446" s="187">
        <v>336112</v>
      </c>
      <c r="B446" s="187" t="s">
        <v>734</v>
      </c>
    </row>
    <row r="447" spans="1:2" x14ac:dyDescent="0.25">
      <c r="A447" s="187">
        <v>336120</v>
      </c>
      <c r="B447" s="187" t="s">
        <v>735</v>
      </c>
    </row>
    <row r="448" spans="1:2" x14ac:dyDescent="0.25">
      <c r="A448" s="187">
        <v>336211</v>
      </c>
      <c r="B448" s="187" t="s">
        <v>736</v>
      </c>
    </row>
    <row r="449" spans="1:2" x14ac:dyDescent="0.25">
      <c r="A449" s="187">
        <v>336212</v>
      </c>
      <c r="B449" s="187" t="s">
        <v>737</v>
      </c>
    </row>
    <row r="450" spans="1:2" x14ac:dyDescent="0.25">
      <c r="A450" s="187">
        <v>336213</v>
      </c>
      <c r="B450" s="187" t="s">
        <v>738</v>
      </c>
    </row>
    <row r="451" spans="1:2" x14ac:dyDescent="0.25">
      <c r="A451" s="187">
        <v>336214</v>
      </c>
      <c r="B451" s="187" t="s">
        <v>739</v>
      </c>
    </row>
    <row r="452" spans="1:2" x14ac:dyDescent="0.25">
      <c r="A452" s="187">
        <v>336310</v>
      </c>
      <c r="B452" s="187" t="s">
        <v>740</v>
      </c>
    </row>
    <row r="453" spans="1:2" x14ac:dyDescent="0.25">
      <c r="A453" s="187">
        <v>336320</v>
      </c>
      <c r="B453" s="187" t="s">
        <v>741</v>
      </c>
    </row>
    <row r="454" spans="1:2" x14ac:dyDescent="0.25">
      <c r="A454" s="187">
        <v>336330</v>
      </c>
      <c r="B454" s="187" t="s">
        <v>742</v>
      </c>
    </row>
    <row r="455" spans="1:2" x14ac:dyDescent="0.25">
      <c r="A455" s="187">
        <v>336340</v>
      </c>
      <c r="B455" s="187" t="s">
        <v>743</v>
      </c>
    </row>
    <row r="456" spans="1:2" x14ac:dyDescent="0.25">
      <c r="A456" s="187">
        <v>336350</v>
      </c>
      <c r="B456" s="187" t="s">
        <v>744</v>
      </c>
    </row>
    <row r="457" spans="1:2" x14ac:dyDescent="0.25">
      <c r="A457" s="187">
        <v>336360</v>
      </c>
      <c r="B457" s="187" t="s">
        <v>745</v>
      </c>
    </row>
    <row r="458" spans="1:2" x14ac:dyDescent="0.25">
      <c r="A458" s="187">
        <v>336370</v>
      </c>
      <c r="B458" s="187" t="s">
        <v>746</v>
      </c>
    </row>
    <row r="459" spans="1:2" x14ac:dyDescent="0.25">
      <c r="A459" s="187">
        <v>336390</v>
      </c>
      <c r="B459" s="187" t="s">
        <v>747</v>
      </c>
    </row>
    <row r="460" spans="1:2" x14ac:dyDescent="0.25">
      <c r="A460" s="187">
        <v>336411</v>
      </c>
      <c r="B460" s="187" t="s">
        <v>748</v>
      </c>
    </row>
    <row r="461" spans="1:2" x14ac:dyDescent="0.25">
      <c r="A461" s="187">
        <v>336412</v>
      </c>
      <c r="B461" s="187" t="s">
        <v>749</v>
      </c>
    </row>
    <row r="462" spans="1:2" x14ac:dyDescent="0.25">
      <c r="A462" s="187">
        <v>336413</v>
      </c>
      <c r="B462" s="187" t="s">
        <v>750</v>
      </c>
    </row>
    <row r="463" spans="1:2" x14ac:dyDescent="0.25">
      <c r="A463" s="187">
        <v>336414</v>
      </c>
      <c r="B463" s="187" t="s">
        <v>751</v>
      </c>
    </row>
    <row r="464" spans="1:2" x14ac:dyDescent="0.25">
      <c r="A464" s="187">
        <v>336415</v>
      </c>
      <c r="B464" s="187" t="s">
        <v>752</v>
      </c>
    </row>
    <row r="465" spans="1:2" x14ac:dyDescent="0.25">
      <c r="A465" s="187">
        <v>336419</v>
      </c>
      <c r="B465" s="187" t="s">
        <v>753</v>
      </c>
    </row>
    <row r="466" spans="1:2" x14ac:dyDescent="0.25">
      <c r="A466" s="187">
        <v>336510</v>
      </c>
      <c r="B466" s="187" t="s">
        <v>754</v>
      </c>
    </row>
    <row r="467" spans="1:2" x14ac:dyDescent="0.25">
      <c r="A467" s="187">
        <v>336611</v>
      </c>
      <c r="B467" s="187" t="s">
        <v>755</v>
      </c>
    </row>
    <row r="468" spans="1:2" x14ac:dyDescent="0.25">
      <c r="A468" s="187">
        <v>336612</v>
      </c>
      <c r="B468" s="187" t="s">
        <v>756</v>
      </c>
    </row>
    <row r="469" spans="1:2" x14ac:dyDescent="0.25">
      <c r="A469" s="187">
        <v>336991</v>
      </c>
      <c r="B469" s="187" t="s">
        <v>757</v>
      </c>
    </row>
    <row r="470" spans="1:2" x14ac:dyDescent="0.25">
      <c r="A470" s="187">
        <v>336992</v>
      </c>
      <c r="B470" s="187" t="s">
        <v>758</v>
      </c>
    </row>
    <row r="471" spans="1:2" x14ac:dyDescent="0.25">
      <c r="A471" s="187">
        <v>336999</v>
      </c>
      <c r="B471" s="187" t="s">
        <v>759</v>
      </c>
    </row>
    <row r="472" spans="1:2" x14ac:dyDescent="0.25">
      <c r="A472" s="187">
        <v>337110</v>
      </c>
      <c r="B472" s="187" t="s">
        <v>760</v>
      </c>
    </row>
    <row r="473" spans="1:2" x14ac:dyDescent="0.25">
      <c r="A473" s="187">
        <v>337121</v>
      </c>
      <c r="B473" s="187" t="s">
        <v>761</v>
      </c>
    </row>
    <row r="474" spans="1:2" x14ac:dyDescent="0.25">
      <c r="A474" s="187">
        <v>337122</v>
      </c>
      <c r="B474" s="187" t="s">
        <v>762</v>
      </c>
    </row>
    <row r="475" spans="1:2" x14ac:dyDescent="0.25">
      <c r="A475" s="187">
        <v>337124</v>
      </c>
      <c r="B475" s="187" t="s">
        <v>763</v>
      </c>
    </row>
    <row r="476" spans="1:2" x14ac:dyDescent="0.25">
      <c r="A476" s="187">
        <v>337125</v>
      </c>
      <c r="B476" s="187" t="s">
        <v>764</v>
      </c>
    </row>
    <row r="477" spans="1:2" x14ac:dyDescent="0.25">
      <c r="A477" s="187">
        <v>337127</v>
      </c>
      <c r="B477" s="187" t="s">
        <v>765</v>
      </c>
    </row>
    <row r="478" spans="1:2" x14ac:dyDescent="0.25">
      <c r="A478" s="187">
        <v>337211</v>
      </c>
      <c r="B478" s="187" t="s">
        <v>766</v>
      </c>
    </row>
    <row r="479" spans="1:2" x14ac:dyDescent="0.25">
      <c r="A479" s="187">
        <v>337212</v>
      </c>
      <c r="B479" s="187" t="s">
        <v>767</v>
      </c>
    </row>
    <row r="480" spans="1:2" x14ac:dyDescent="0.25">
      <c r="A480" s="187">
        <v>337214</v>
      </c>
      <c r="B480" s="187" t="s">
        <v>768</v>
      </c>
    </row>
    <row r="481" spans="1:2" x14ac:dyDescent="0.25">
      <c r="A481" s="187">
        <v>337215</v>
      </c>
      <c r="B481" s="187" t="s">
        <v>769</v>
      </c>
    </row>
    <row r="482" spans="1:2" x14ac:dyDescent="0.25">
      <c r="A482" s="187">
        <v>337910</v>
      </c>
      <c r="B482" s="187" t="s">
        <v>770</v>
      </c>
    </row>
    <row r="483" spans="1:2" x14ac:dyDescent="0.25">
      <c r="A483" s="187">
        <v>337920</v>
      </c>
      <c r="B483" s="187" t="s">
        <v>771</v>
      </c>
    </row>
    <row r="484" spans="1:2" x14ac:dyDescent="0.25">
      <c r="A484" s="187">
        <v>339112</v>
      </c>
      <c r="B484" s="187" t="s">
        <v>772</v>
      </c>
    </row>
    <row r="485" spans="1:2" x14ac:dyDescent="0.25">
      <c r="A485" s="187">
        <v>339113</v>
      </c>
      <c r="B485" s="187" t="s">
        <v>773</v>
      </c>
    </row>
    <row r="486" spans="1:2" x14ac:dyDescent="0.25">
      <c r="A486" s="187">
        <v>339114</v>
      </c>
      <c r="B486" s="187" t="s">
        <v>774</v>
      </c>
    </row>
    <row r="487" spans="1:2" x14ac:dyDescent="0.25">
      <c r="A487" s="187">
        <v>339115</v>
      </c>
      <c r="B487" s="187" t="s">
        <v>775</v>
      </c>
    </row>
    <row r="488" spans="1:2" x14ac:dyDescent="0.25">
      <c r="A488" s="187">
        <v>339116</v>
      </c>
      <c r="B488" s="187" t="s">
        <v>776</v>
      </c>
    </row>
    <row r="489" spans="1:2" x14ac:dyDescent="0.25">
      <c r="A489" s="187">
        <v>339910</v>
      </c>
      <c r="B489" s="187" t="s">
        <v>777</v>
      </c>
    </row>
    <row r="490" spans="1:2" x14ac:dyDescent="0.25">
      <c r="A490" s="187">
        <v>339920</v>
      </c>
      <c r="B490" s="187" t="s">
        <v>778</v>
      </c>
    </row>
    <row r="491" spans="1:2" x14ac:dyDescent="0.25">
      <c r="A491" s="187">
        <v>339930</v>
      </c>
      <c r="B491" s="187" t="s">
        <v>779</v>
      </c>
    </row>
    <row r="492" spans="1:2" x14ac:dyDescent="0.25">
      <c r="A492" s="187">
        <v>339940</v>
      </c>
      <c r="B492" s="187" t="s">
        <v>780</v>
      </c>
    </row>
    <row r="493" spans="1:2" x14ac:dyDescent="0.25">
      <c r="A493" s="187">
        <v>339950</v>
      </c>
      <c r="B493" s="187" t="s">
        <v>781</v>
      </c>
    </row>
    <row r="494" spans="1:2" x14ac:dyDescent="0.25">
      <c r="A494" s="187">
        <v>339991</v>
      </c>
      <c r="B494" s="187" t="s">
        <v>782</v>
      </c>
    </row>
    <row r="495" spans="1:2" x14ac:dyDescent="0.25">
      <c r="A495" s="187">
        <v>339992</v>
      </c>
      <c r="B495" s="187" t="s">
        <v>783</v>
      </c>
    </row>
    <row r="496" spans="1:2" x14ac:dyDescent="0.25">
      <c r="A496" s="187">
        <v>339993</v>
      </c>
      <c r="B496" s="187" t="s">
        <v>784</v>
      </c>
    </row>
    <row r="497" spans="1:2" x14ac:dyDescent="0.25">
      <c r="A497" s="187">
        <v>339994</v>
      </c>
      <c r="B497" s="187" t="s">
        <v>785</v>
      </c>
    </row>
    <row r="498" spans="1:2" x14ac:dyDescent="0.25">
      <c r="A498" s="187">
        <v>339995</v>
      </c>
      <c r="B498" s="187" t="s">
        <v>786</v>
      </c>
    </row>
    <row r="499" spans="1:2" x14ac:dyDescent="0.25">
      <c r="A499" s="187">
        <v>339999</v>
      </c>
      <c r="B499" s="187" t="s">
        <v>787</v>
      </c>
    </row>
    <row r="500" spans="1:2" x14ac:dyDescent="0.25">
      <c r="A500" s="187">
        <v>423110</v>
      </c>
      <c r="B500" s="187" t="s">
        <v>788</v>
      </c>
    </row>
    <row r="501" spans="1:2" x14ac:dyDescent="0.25">
      <c r="A501" s="187">
        <v>423120</v>
      </c>
      <c r="B501" s="187" t="s">
        <v>789</v>
      </c>
    </row>
    <row r="502" spans="1:2" x14ac:dyDescent="0.25">
      <c r="A502" s="187">
        <v>423130</v>
      </c>
      <c r="B502" s="187" t="s">
        <v>790</v>
      </c>
    </row>
    <row r="503" spans="1:2" x14ac:dyDescent="0.25">
      <c r="A503" s="187">
        <v>423140</v>
      </c>
      <c r="B503" s="187" t="s">
        <v>791</v>
      </c>
    </row>
    <row r="504" spans="1:2" x14ac:dyDescent="0.25">
      <c r="A504" s="187">
        <v>423210</v>
      </c>
      <c r="B504" s="187" t="s">
        <v>792</v>
      </c>
    </row>
    <row r="505" spans="1:2" x14ac:dyDescent="0.25">
      <c r="A505" s="187">
        <v>423220</v>
      </c>
      <c r="B505" s="187" t="s">
        <v>793</v>
      </c>
    </row>
    <row r="506" spans="1:2" x14ac:dyDescent="0.25">
      <c r="A506" s="187">
        <v>423310</v>
      </c>
      <c r="B506" s="187" t="s">
        <v>794</v>
      </c>
    </row>
    <row r="507" spans="1:2" x14ac:dyDescent="0.25">
      <c r="A507" s="187">
        <v>423320</v>
      </c>
      <c r="B507" s="187" t="s">
        <v>795</v>
      </c>
    </row>
    <row r="508" spans="1:2" x14ac:dyDescent="0.25">
      <c r="A508" s="187">
        <v>423330</v>
      </c>
      <c r="B508" s="187" t="s">
        <v>796</v>
      </c>
    </row>
    <row r="509" spans="1:2" x14ac:dyDescent="0.25">
      <c r="A509" s="187">
        <v>423390</v>
      </c>
      <c r="B509" s="187" t="s">
        <v>797</v>
      </c>
    </row>
    <row r="510" spans="1:2" x14ac:dyDescent="0.25">
      <c r="A510" s="187">
        <v>423410</v>
      </c>
      <c r="B510" s="187" t="s">
        <v>798</v>
      </c>
    </row>
    <row r="511" spans="1:2" x14ac:dyDescent="0.25">
      <c r="A511" s="187">
        <v>423420</v>
      </c>
      <c r="B511" s="187" t="s">
        <v>799</v>
      </c>
    </row>
    <row r="512" spans="1:2" x14ac:dyDescent="0.25">
      <c r="A512" s="187">
        <v>423430</v>
      </c>
      <c r="B512" s="187" t="s">
        <v>800</v>
      </c>
    </row>
    <row r="513" spans="1:2" x14ac:dyDescent="0.25">
      <c r="A513" s="187">
        <v>423440</v>
      </c>
      <c r="B513" s="187" t="s">
        <v>801</v>
      </c>
    </row>
    <row r="514" spans="1:2" x14ac:dyDescent="0.25">
      <c r="A514" s="187">
        <v>423450</v>
      </c>
      <c r="B514" s="187" t="s">
        <v>802</v>
      </c>
    </row>
    <row r="515" spans="1:2" x14ac:dyDescent="0.25">
      <c r="A515" s="187">
        <v>423460</v>
      </c>
      <c r="B515" s="187" t="s">
        <v>803</v>
      </c>
    </row>
    <row r="516" spans="1:2" x14ac:dyDescent="0.25">
      <c r="A516" s="187">
        <v>423490</v>
      </c>
      <c r="B516" s="187" t="s">
        <v>804</v>
      </c>
    </row>
    <row r="517" spans="1:2" x14ac:dyDescent="0.25">
      <c r="A517" s="187">
        <v>423510</v>
      </c>
      <c r="B517" s="187" t="s">
        <v>805</v>
      </c>
    </row>
    <row r="518" spans="1:2" x14ac:dyDescent="0.25">
      <c r="A518" s="187">
        <v>423520</v>
      </c>
      <c r="B518" s="187" t="s">
        <v>806</v>
      </c>
    </row>
    <row r="519" spans="1:2" x14ac:dyDescent="0.25">
      <c r="A519" s="187">
        <v>423610</v>
      </c>
      <c r="B519" s="187" t="s">
        <v>807</v>
      </c>
    </row>
    <row r="520" spans="1:2" x14ac:dyDescent="0.25">
      <c r="A520" s="187">
        <v>423620</v>
      </c>
      <c r="B520" s="187" t="s">
        <v>808</v>
      </c>
    </row>
    <row r="521" spans="1:2" x14ac:dyDescent="0.25">
      <c r="A521" s="187">
        <v>423690</v>
      </c>
      <c r="B521" s="187" t="s">
        <v>809</v>
      </c>
    </row>
    <row r="522" spans="1:2" x14ac:dyDescent="0.25">
      <c r="A522" s="187">
        <v>423710</v>
      </c>
      <c r="B522" s="187" t="s">
        <v>810</v>
      </c>
    </row>
    <row r="523" spans="1:2" x14ac:dyDescent="0.25">
      <c r="A523" s="187">
        <v>423720</v>
      </c>
      <c r="B523" s="187" t="s">
        <v>811</v>
      </c>
    </row>
    <row r="524" spans="1:2" x14ac:dyDescent="0.25">
      <c r="A524" s="187">
        <v>423730</v>
      </c>
      <c r="B524" s="187" t="s">
        <v>812</v>
      </c>
    </row>
    <row r="525" spans="1:2" x14ac:dyDescent="0.25">
      <c r="A525" s="187">
        <v>423740</v>
      </c>
      <c r="B525" s="187" t="s">
        <v>813</v>
      </c>
    </row>
    <row r="526" spans="1:2" x14ac:dyDescent="0.25">
      <c r="A526" s="187">
        <v>423810</v>
      </c>
      <c r="B526" s="187" t="s">
        <v>814</v>
      </c>
    </row>
    <row r="527" spans="1:2" x14ac:dyDescent="0.25">
      <c r="A527" s="187">
        <v>423820</v>
      </c>
      <c r="B527" s="187" t="s">
        <v>815</v>
      </c>
    </row>
    <row r="528" spans="1:2" x14ac:dyDescent="0.25">
      <c r="A528" s="187">
        <v>423830</v>
      </c>
      <c r="B528" s="187" t="s">
        <v>816</v>
      </c>
    </row>
    <row r="529" spans="1:2" x14ac:dyDescent="0.25">
      <c r="A529" s="187">
        <v>423840</v>
      </c>
      <c r="B529" s="187" t="s">
        <v>817</v>
      </c>
    </row>
    <row r="530" spans="1:2" x14ac:dyDescent="0.25">
      <c r="A530" s="187">
        <v>423850</v>
      </c>
      <c r="B530" s="187" t="s">
        <v>818</v>
      </c>
    </row>
    <row r="531" spans="1:2" x14ac:dyDescent="0.25">
      <c r="A531" s="187">
        <v>423860</v>
      </c>
      <c r="B531" s="187" t="s">
        <v>819</v>
      </c>
    </row>
    <row r="532" spans="1:2" x14ac:dyDescent="0.25">
      <c r="A532" s="187">
        <v>423910</v>
      </c>
      <c r="B532" s="187" t="s">
        <v>820</v>
      </c>
    </row>
    <row r="533" spans="1:2" x14ac:dyDescent="0.25">
      <c r="A533" s="187">
        <v>423920</v>
      </c>
      <c r="B533" s="187" t="s">
        <v>821</v>
      </c>
    </row>
    <row r="534" spans="1:2" x14ac:dyDescent="0.25">
      <c r="A534" s="187">
        <v>423930</v>
      </c>
      <c r="B534" s="187" t="s">
        <v>822</v>
      </c>
    </row>
    <row r="535" spans="1:2" x14ac:dyDescent="0.25">
      <c r="A535" s="187">
        <v>423940</v>
      </c>
      <c r="B535" s="187" t="s">
        <v>823</v>
      </c>
    </row>
    <row r="536" spans="1:2" x14ac:dyDescent="0.25">
      <c r="A536" s="187">
        <v>423990</v>
      </c>
      <c r="B536" s="187" t="s">
        <v>824</v>
      </c>
    </row>
    <row r="537" spans="1:2" x14ac:dyDescent="0.25">
      <c r="A537" s="187">
        <v>424110</v>
      </c>
      <c r="B537" s="187" t="s">
        <v>825</v>
      </c>
    </row>
    <row r="538" spans="1:2" x14ac:dyDescent="0.25">
      <c r="A538" s="187">
        <v>424120</v>
      </c>
      <c r="B538" s="187" t="s">
        <v>826</v>
      </c>
    </row>
    <row r="539" spans="1:2" x14ac:dyDescent="0.25">
      <c r="A539" s="187">
        <v>424130</v>
      </c>
      <c r="B539" s="187" t="s">
        <v>827</v>
      </c>
    </row>
    <row r="540" spans="1:2" x14ac:dyDescent="0.25">
      <c r="A540" s="187">
        <v>424210</v>
      </c>
      <c r="B540" s="187" t="s">
        <v>828</v>
      </c>
    </row>
    <row r="541" spans="1:2" x14ac:dyDescent="0.25">
      <c r="A541" s="187">
        <v>424310</v>
      </c>
      <c r="B541" s="187" t="s">
        <v>829</v>
      </c>
    </row>
    <row r="542" spans="1:2" x14ac:dyDescent="0.25">
      <c r="A542" s="187">
        <v>424320</v>
      </c>
      <c r="B542" s="187" t="s">
        <v>830</v>
      </c>
    </row>
    <row r="543" spans="1:2" x14ac:dyDescent="0.25">
      <c r="A543" s="187">
        <v>424330</v>
      </c>
      <c r="B543" s="187" t="s">
        <v>831</v>
      </c>
    </row>
    <row r="544" spans="1:2" x14ac:dyDescent="0.25">
      <c r="A544" s="187">
        <v>424340</v>
      </c>
      <c r="B544" s="187" t="s">
        <v>832</v>
      </c>
    </row>
    <row r="545" spans="1:2" x14ac:dyDescent="0.25">
      <c r="A545" s="187">
        <v>424410</v>
      </c>
      <c r="B545" s="187" t="s">
        <v>833</v>
      </c>
    </row>
    <row r="546" spans="1:2" x14ac:dyDescent="0.25">
      <c r="A546" s="187">
        <v>424420</v>
      </c>
      <c r="B546" s="187" t="s">
        <v>834</v>
      </c>
    </row>
    <row r="547" spans="1:2" x14ac:dyDescent="0.25">
      <c r="A547" s="187">
        <v>424430</v>
      </c>
      <c r="B547" s="187" t="s">
        <v>835</v>
      </c>
    </row>
    <row r="548" spans="1:2" x14ac:dyDescent="0.25">
      <c r="A548" s="187">
        <v>424440</v>
      </c>
      <c r="B548" s="187" t="s">
        <v>836</v>
      </c>
    </row>
    <row r="549" spans="1:2" x14ac:dyDescent="0.25">
      <c r="A549" s="187">
        <v>424450</v>
      </c>
      <c r="B549" s="187" t="s">
        <v>837</v>
      </c>
    </row>
    <row r="550" spans="1:2" x14ac:dyDescent="0.25">
      <c r="A550" s="187">
        <v>424460</v>
      </c>
      <c r="B550" s="187" t="s">
        <v>838</v>
      </c>
    </row>
    <row r="551" spans="1:2" x14ac:dyDescent="0.25">
      <c r="A551" s="187">
        <v>424470</v>
      </c>
      <c r="B551" s="187" t="s">
        <v>839</v>
      </c>
    </row>
    <row r="552" spans="1:2" x14ac:dyDescent="0.25">
      <c r="A552" s="187">
        <v>424480</v>
      </c>
      <c r="B552" s="187" t="s">
        <v>840</v>
      </c>
    </row>
    <row r="553" spans="1:2" x14ac:dyDescent="0.25">
      <c r="A553" s="187">
        <v>424490</v>
      </c>
      <c r="B553" s="187" t="s">
        <v>841</v>
      </c>
    </row>
    <row r="554" spans="1:2" x14ac:dyDescent="0.25">
      <c r="A554" s="187">
        <v>424510</v>
      </c>
      <c r="B554" s="187" t="s">
        <v>842</v>
      </c>
    </row>
    <row r="555" spans="1:2" x14ac:dyDescent="0.25">
      <c r="A555" s="187">
        <v>424520</v>
      </c>
      <c r="B555" s="187" t="s">
        <v>843</v>
      </c>
    </row>
    <row r="556" spans="1:2" x14ac:dyDescent="0.25">
      <c r="A556" s="187">
        <v>424590</v>
      </c>
      <c r="B556" s="187" t="s">
        <v>844</v>
      </c>
    </row>
    <row r="557" spans="1:2" x14ac:dyDescent="0.25">
      <c r="A557" s="187">
        <v>424610</v>
      </c>
      <c r="B557" s="187" t="s">
        <v>845</v>
      </c>
    </row>
    <row r="558" spans="1:2" x14ac:dyDescent="0.25">
      <c r="A558" s="187">
        <v>424690</v>
      </c>
      <c r="B558" s="187" t="s">
        <v>846</v>
      </c>
    </row>
    <row r="559" spans="1:2" x14ac:dyDescent="0.25">
      <c r="A559" s="187">
        <v>424710</v>
      </c>
      <c r="B559" s="187" t="s">
        <v>847</v>
      </c>
    </row>
    <row r="560" spans="1:2" x14ac:dyDescent="0.25">
      <c r="A560" s="187">
        <v>424720</v>
      </c>
      <c r="B560" s="187" t="s">
        <v>848</v>
      </c>
    </row>
    <row r="561" spans="1:2" x14ac:dyDescent="0.25">
      <c r="A561" s="187">
        <v>424810</v>
      </c>
      <c r="B561" s="187" t="s">
        <v>849</v>
      </c>
    </row>
    <row r="562" spans="1:2" x14ac:dyDescent="0.25">
      <c r="A562" s="187">
        <v>424820</v>
      </c>
      <c r="B562" s="187" t="s">
        <v>850</v>
      </c>
    </row>
    <row r="563" spans="1:2" x14ac:dyDescent="0.25">
      <c r="A563" s="187">
        <v>424910</v>
      </c>
      <c r="B563" s="187" t="s">
        <v>851</v>
      </c>
    </row>
    <row r="564" spans="1:2" x14ac:dyDescent="0.25">
      <c r="A564" s="187">
        <v>424920</v>
      </c>
      <c r="B564" s="187" t="s">
        <v>852</v>
      </c>
    </row>
    <row r="565" spans="1:2" x14ac:dyDescent="0.25">
      <c r="A565" s="187">
        <v>424930</v>
      </c>
      <c r="B565" s="187" t="s">
        <v>853</v>
      </c>
    </row>
    <row r="566" spans="1:2" x14ac:dyDescent="0.25">
      <c r="A566" s="187">
        <v>424940</v>
      </c>
      <c r="B566" s="187" t="s">
        <v>854</v>
      </c>
    </row>
    <row r="567" spans="1:2" x14ac:dyDescent="0.25">
      <c r="A567" s="187">
        <v>424950</v>
      </c>
      <c r="B567" s="187" t="s">
        <v>855</v>
      </c>
    </row>
    <row r="568" spans="1:2" x14ac:dyDescent="0.25">
      <c r="A568" s="187">
        <v>424990</v>
      </c>
      <c r="B568" s="187" t="s">
        <v>856</v>
      </c>
    </row>
    <row r="569" spans="1:2" x14ac:dyDescent="0.25">
      <c r="A569" s="187">
        <v>425110</v>
      </c>
      <c r="B569" s="187" t="s">
        <v>857</v>
      </c>
    </row>
    <row r="570" spans="1:2" x14ac:dyDescent="0.25">
      <c r="A570" s="187">
        <v>425120</v>
      </c>
      <c r="B570" s="187" t="s">
        <v>858</v>
      </c>
    </row>
    <row r="571" spans="1:2" x14ac:dyDescent="0.25">
      <c r="A571" s="187">
        <v>441110</v>
      </c>
      <c r="B571" s="187" t="s">
        <v>859</v>
      </c>
    </row>
    <row r="572" spans="1:2" x14ac:dyDescent="0.25">
      <c r="A572" s="187">
        <v>441120</v>
      </c>
      <c r="B572" s="187" t="s">
        <v>860</v>
      </c>
    </row>
    <row r="573" spans="1:2" x14ac:dyDescent="0.25">
      <c r="A573" s="187">
        <v>441210</v>
      </c>
      <c r="B573" s="187" t="s">
        <v>861</v>
      </c>
    </row>
    <row r="574" spans="1:2" x14ac:dyDescent="0.25">
      <c r="A574" s="187">
        <v>441222</v>
      </c>
      <c r="B574" s="187" t="s">
        <v>862</v>
      </c>
    </row>
    <row r="575" spans="1:2" x14ac:dyDescent="0.25">
      <c r="A575" s="187">
        <v>441228</v>
      </c>
      <c r="B575" s="187" t="s">
        <v>863</v>
      </c>
    </row>
    <row r="576" spans="1:2" x14ac:dyDescent="0.25">
      <c r="A576" s="187">
        <v>441310</v>
      </c>
      <c r="B576" s="187" t="s">
        <v>864</v>
      </c>
    </row>
    <row r="577" spans="1:2" x14ac:dyDescent="0.25">
      <c r="A577" s="187">
        <v>441320</v>
      </c>
      <c r="B577" s="187" t="s">
        <v>865</v>
      </c>
    </row>
    <row r="578" spans="1:2" x14ac:dyDescent="0.25">
      <c r="A578" s="187">
        <v>442110</v>
      </c>
      <c r="B578" s="187" t="s">
        <v>866</v>
      </c>
    </row>
    <row r="579" spans="1:2" x14ac:dyDescent="0.25">
      <c r="A579" s="187">
        <v>442210</v>
      </c>
      <c r="B579" s="187" t="s">
        <v>867</v>
      </c>
    </row>
    <row r="580" spans="1:2" x14ac:dyDescent="0.25">
      <c r="A580" s="187">
        <v>442291</v>
      </c>
      <c r="B580" s="187" t="s">
        <v>868</v>
      </c>
    </row>
    <row r="581" spans="1:2" x14ac:dyDescent="0.25">
      <c r="A581" s="187">
        <v>442299</v>
      </c>
      <c r="B581" s="187" t="s">
        <v>869</v>
      </c>
    </row>
    <row r="582" spans="1:2" x14ac:dyDescent="0.25">
      <c r="A582" s="187">
        <v>443141</v>
      </c>
      <c r="B582" s="187" t="s">
        <v>870</v>
      </c>
    </row>
    <row r="583" spans="1:2" x14ac:dyDescent="0.25">
      <c r="A583" s="187">
        <v>443142</v>
      </c>
      <c r="B583" s="187" t="s">
        <v>871</v>
      </c>
    </row>
    <row r="584" spans="1:2" x14ac:dyDescent="0.25">
      <c r="A584" s="187">
        <v>444110</v>
      </c>
      <c r="B584" s="187" t="s">
        <v>872</v>
      </c>
    </row>
    <row r="585" spans="1:2" x14ac:dyDescent="0.25">
      <c r="A585" s="187">
        <v>444120</v>
      </c>
      <c r="B585" s="187" t="s">
        <v>873</v>
      </c>
    </row>
    <row r="586" spans="1:2" x14ac:dyDescent="0.25">
      <c r="A586" s="187">
        <v>444130</v>
      </c>
      <c r="B586" s="187" t="s">
        <v>874</v>
      </c>
    </row>
    <row r="587" spans="1:2" x14ac:dyDescent="0.25">
      <c r="A587" s="187">
        <v>444190</v>
      </c>
      <c r="B587" s="187" t="s">
        <v>875</v>
      </c>
    </row>
    <row r="588" spans="1:2" x14ac:dyDescent="0.25">
      <c r="A588" s="187">
        <v>444210</v>
      </c>
      <c r="B588" s="187" t="s">
        <v>876</v>
      </c>
    </row>
    <row r="589" spans="1:2" x14ac:dyDescent="0.25">
      <c r="A589" s="187">
        <v>444220</v>
      </c>
      <c r="B589" s="187" t="s">
        <v>877</v>
      </c>
    </row>
    <row r="590" spans="1:2" x14ac:dyDescent="0.25">
      <c r="A590" s="187">
        <v>445110</v>
      </c>
      <c r="B590" s="187" t="s">
        <v>878</v>
      </c>
    </row>
    <row r="591" spans="1:2" x14ac:dyDescent="0.25">
      <c r="A591" s="187">
        <v>445120</v>
      </c>
      <c r="B591" s="187" t="s">
        <v>879</v>
      </c>
    </row>
    <row r="592" spans="1:2" x14ac:dyDescent="0.25">
      <c r="A592" s="187">
        <v>445210</v>
      </c>
      <c r="B592" s="187" t="s">
        <v>880</v>
      </c>
    </row>
    <row r="593" spans="1:2" x14ac:dyDescent="0.25">
      <c r="A593" s="187">
        <v>445220</v>
      </c>
      <c r="B593" s="187" t="s">
        <v>881</v>
      </c>
    </row>
    <row r="594" spans="1:2" x14ac:dyDescent="0.25">
      <c r="A594" s="187">
        <v>445230</v>
      </c>
      <c r="B594" s="187" t="s">
        <v>882</v>
      </c>
    </row>
    <row r="595" spans="1:2" x14ac:dyDescent="0.25">
      <c r="A595" s="187">
        <v>445291</v>
      </c>
      <c r="B595" s="187" t="s">
        <v>883</v>
      </c>
    </row>
    <row r="596" spans="1:2" x14ac:dyDescent="0.25">
      <c r="A596" s="187">
        <v>445292</v>
      </c>
      <c r="B596" s="187" t="s">
        <v>884</v>
      </c>
    </row>
    <row r="597" spans="1:2" x14ac:dyDescent="0.25">
      <c r="A597" s="187">
        <v>445299</v>
      </c>
      <c r="B597" s="187" t="s">
        <v>885</v>
      </c>
    </row>
    <row r="598" spans="1:2" x14ac:dyDescent="0.25">
      <c r="A598" s="187">
        <v>445310</v>
      </c>
      <c r="B598" s="187" t="s">
        <v>886</v>
      </c>
    </row>
    <row r="599" spans="1:2" x14ac:dyDescent="0.25">
      <c r="A599" s="187">
        <v>446110</v>
      </c>
      <c r="B599" s="187" t="s">
        <v>887</v>
      </c>
    </row>
    <row r="600" spans="1:2" x14ac:dyDescent="0.25">
      <c r="A600" s="187">
        <v>446120</v>
      </c>
      <c r="B600" s="187" t="s">
        <v>888</v>
      </c>
    </row>
    <row r="601" spans="1:2" x14ac:dyDescent="0.25">
      <c r="A601" s="187">
        <v>446130</v>
      </c>
      <c r="B601" s="187" t="s">
        <v>889</v>
      </c>
    </row>
    <row r="602" spans="1:2" x14ac:dyDescent="0.25">
      <c r="A602" s="187">
        <v>446191</v>
      </c>
      <c r="B602" s="187" t="s">
        <v>890</v>
      </c>
    </row>
    <row r="603" spans="1:2" x14ac:dyDescent="0.25">
      <c r="A603" s="187">
        <v>446199</v>
      </c>
      <c r="B603" s="187" t="s">
        <v>891</v>
      </c>
    </row>
    <row r="604" spans="1:2" x14ac:dyDescent="0.25">
      <c r="A604" s="187">
        <v>447110</v>
      </c>
      <c r="B604" s="187" t="s">
        <v>892</v>
      </c>
    </row>
    <row r="605" spans="1:2" x14ac:dyDescent="0.25">
      <c r="A605" s="187">
        <v>447190</v>
      </c>
      <c r="B605" s="187" t="s">
        <v>893</v>
      </c>
    </row>
    <row r="606" spans="1:2" x14ac:dyDescent="0.25">
      <c r="A606" s="187">
        <v>448110</v>
      </c>
      <c r="B606" s="187" t="s">
        <v>894</v>
      </c>
    </row>
    <row r="607" spans="1:2" x14ac:dyDescent="0.25">
      <c r="A607" s="187">
        <v>448120</v>
      </c>
      <c r="B607" s="187" t="s">
        <v>895</v>
      </c>
    </row>
    <row r="608" spans="1:2" x14ac:dyDescent="0.25">
      <c r="A608" s="187">
        <v>448130</v>
      </c>
      <c r="B608" s="187" t="s">
        <v>896</v>
      </c>
    </row>
    <row r="609" spans="1:2" x14ac:dyDescent="0.25">
      <c r="A609" s="187">
        <v>448140</v>
      </c>
      <c r="B609" s="187" t="s">
        <v>897</v>
      </c>
    </row>
    <row r="610" spans="1:2" x14ac:dyDescent="0.25">
      <c r="A610" s="187">
        <v>448150</v>
      </c>
      <c r="B610" s="187" t="s">
        <v>898</v>
      </c>
    </row>
    <row r="611" spans="1:2" x14ac:dyDescent="0.25">
      <c r="A611" s="187">
        <v>448190</v>
      </c>
      <c r="B611" s="187" t="s">
        <v>899</v>
      </c>
    </row>
    <row r="612" spans="1:2" x14ac:dyDescent="0.25">
      <c r="A612" s="187">
        <v>448210</v>
      </c>
      <c r="B612" s="187" t="s">
        <v>900</v>
      </c>
    </row>
    <row r="613" spans="1:2" x14ac:dyDescent="0.25">
      <c r="A613" s="187">
        <v>448310</v>
      </c>
      <c r="B613" s="187" t="s">
        <v>901</v>
      </c>
    </row>
    <row r="614" spans="1:2" x14ac:dyDescent="0.25">
      <c r="A614" s="187">
        <v>448320</v>
      </c>
      <c r="B614" s="187" t="s">
        <v>902</v>
      </c>
    </row>
    <row r="615" spans="1:2" x14ac:dyDescent="0.25">
      <c r="A615" s="187">
        <v>451110</v>
      </c>
      <c r="B615" s="187" t="s">
        <v>903</v>
      </c>
    </row>
    <row r="616" spans="1:2" x14ac:dyDescent="0.25">
      <c r="A616" s="187">
        <v>451120</v>
      </c>
      <c r="B616" s="187" t="s">
        <v>904</v>
      </c>
    </row>
    <row r="617" spans="1:2" x14ac:dyDescent="0.25">
      <c r="A617" s="187">
        <v>451130</v>
      </c>
      <c r="B617" s="187" t="s">
        <v>905</v>
      </c>
    </row>
    <row r="618" spans="1:2" x14ac:dyDescent="0.25">
      <c r="A618" s="187">
        <v>451140</v>
      </c>
      <c r="B618" s="187" t="s">
        <v>906</v>
      </c>
    </row>
    <row r="619" spans="1:2" x14ac:dyDescent="0.25">
      <c r="A619" s="187">
        <v>451211</v>
      </c>
      <c r="B619" s="187" t="s">
        <v>907</v>
      </c>
    </row>
    <row r="620" spans="1:2" x14ac:dyDescent="0.25">
      <c r="A620" s="187">
        <v>451212</v>
      </c>
      <c r="B620" s="187" t="s">
        <v>908</v>
      </c>
    </row>
    <row r="621" spans="1:2" x14ac:dyDescent="0.25">
      <c r="A621" s="187">
        <v>452210</v>
      </c>
      <c r="B621" s="187" t="s">
        <v>2377</v>
      </c>
    </row>
    <row r="622" spans="1:2" x14ac:dyDescent="0.25">
      <c r="A622" s="187">
        <v>452311</v>
      </c>
      <c r="B622" s="187" t="s">
        <v>909</v>
      </c>
    </row>
    <row r="623" spans="1:2" x14ac:dyDescent="0.25">
      <c r="A623" s="187">
        <v>452319</v>
      </c>
      <c r="B623" s="187" t="s">
        <v>910</v>
      </c>
    </row>
    <row r="624" spans="1:2" x14ac:dyDescent="0.25">
      <c r="A624" s="187">
        <v>453110</v>
      </c>
      <c r="B624" s="187" t="s">
        <v>911</v>
      </c>
    </row>
    <row r="625" spans="1:2" x14ac:dyDescent="0.25">
      <c r="A625" s="187">
        <v>453210</v>
      </c>
      <c r="B625" s="187" t="s">
        <v>912</v>
      </c>
    </row>
    <row r="626" spans="1:2" x14ac:dyDescent="0.25">
      <c r="A626" s="187">
        <v>453220</v>
      </c>
      <c r="B626" s="187" t="s">
        <v>913</v>
      </c>
    </row>
    <row r="627" spans="1:2" x14ac:dyDescent="0.25">
      <c r="A627" s="187">
        <v>453310</v>
      </c>
      <c r="B627" s="187" t="s">
        <v>914</v>
      </c>
    </row>
    <row r="628" spans="1:2" x14ac:dyDescent="0.25">
      <c r="A628" s="187">
        <v>453910</v>
      </c>
      <c r="B628" s="187" t="s">
        <v>915</v>
      </c>
    </row>
    <row r="629" spans="1:2" x14ac:dyDescent="0.25">
      <c r="A629" s="187">
        <v>453920</v>
      </c>
      <c r="B629" s="187" t="s">
        <v>916</v>
      </c>
    </row>
    <row r="630" spans="1:2" x14ac:dyDescent="0.25">
      <c r="A630" s="187">
        <v>453930</v>
      </c>
      <c r="B630" s="187" t="s">
        <v>917</v>
      </c>
    </row>
    <row r="631" spans="1:2" x14ac:dyDescent="0.25">
      <c r="A631" s="187">
        <v>453991</v>
      </c>
      <c r="B631" s="187" t="s">
        <v>918</v>
      </c>
    </row>
    <row r="632" spans="1:2" x14ac:dyDescent="0.25">
      <c r="A632" s="187">
        <v>453998</v>
      </c>
      <c r="B632" s="187" t="s">
        <v>919</v>
      </c>
    </row>
    <row r="633" spans="1:2" x14ac:dyDescent="0.25">
      <c r="A633" s="187">
        <v>454110</v>
      </c>
      <c r="B633" s="187" t="s">
        <v>2378</v>
      </c>
    </row>
    <row r="634" spans="1:2" x14ac:dyDescent="0.25">
      <c r="A634" s="187">
        <v>454210</v>
      </c>
      <c r="B634" s="187" t="s">
        <v>920</v>
      </c>
    </row>
    <row r="635" spans="1:2" x14ac:dyDescent="0.25">
      <c r="A635" s="187">
        <v>454310</v>
      </c>
      <c r="B635" s="187" t="s">
        <v>921</v>
      </c>
    </row>
    <row r="636" spans="1:2" x14ac:dyDescent="0.25">
      <c r="A636" s="187">
        <v>454390</v>
      </c>
      <c r="B636" s="187" t="s">
        <v>922</v>
      </c>
    </row>
    <row r="637" spans="1:2" x14ac:dyDescent="0.25">
      <c r="A637" s="187">
        <v>481111</v>
      </c>
      <c r="B637" s="187" t="s">
        <v>923</v>
      </c>
    </row>
    <row r="638" spans="1:2" x14ac:dyDescent="0.25">
      <c r="A638" s="187">
        <v>481112</v>
      </c>
      <c r="B638" s="187" t="s">
        <v>924</v>
      </c>
    </row>
    <row r="639" spans="1:2" x14ac:dyDescent="0.25">
      <c r="A639" s="187">
        <v>481211</v>
      </c>
      <c r="B639" s="187" t="s">
        <v>925</v>
      </c>
    </row>
    <row r="640" spans="1:2" x14ac:dyDescent="0.25">
      <c r="A640" s="187">
        <v>481212</v>
      </c>
      <c r="B640" s="187" t="s">
        <v>926</v>
      </c>
    </row>
    <row r="641" spans="1:2" x14ac:dyDescent="0.25">
      <c r="A641" s="187">
        <v>481219</v>
      </c>
      <c r="B641" s="187" t="s">
        <v>927</v>
      </c>
    </row>
    <row r="642" spans="1:2" x14ac:dyDescent="0.25">
      <c r="A642" s="187">
        <v>482111</v>
      </c>
      <c r="B642" s="187" t="s">
        <v>928</v>
      </c>
    </row>
    <row r="643" spans="1:2" x14ac:dyDescent="0.25">
      <c r="A643" s="187">
        <v>482112</v>
      </c>
      <c r="B643" s="187" t="s">
        <v>929</v>
      </c>
    </row>
    <row r="644" spans="1:2" x14ac:dyDescent="0.25">
      <c r="A644" s="187">
        <v>483111</v>
      </c>
      <c r="B644" s="187" t="s">
        <v>930</v>
      </c>
    </row>
    <row r="645" spans="1:2" x14ac:dyDescent="0.25">
      <c r="A645" s="187">
        <v>483112</v>
      </c>
      <c r="B645" s="187" t="s">
        <v>931</v>
      </c>
    </row>
    <row r="646" spans="1:2" x14ac:dyDescent="0.25">
      <c r="A646" s="187">
        <v>483113</v>
      </c>
      <c r="B646" s="187" t="s">
        <v>932</v>
      </c>
    </row>
    <row r="647" spans="1:2" x14ac:dyDescent="0.25">
      <c r="A647" s="187">
        <v>483114</v>
      </c>
      <c r="B647" s="187" t="s">
        <v>933</v>
      </c>
    </row>
    <row r="648" spans="1:2" x14ac:dyDescent="0.25">
      <c r="A648" s="187">
        <v>483211</v>
      </c>
      <c r="B648" s="187" t="s">
        <v>934</v>
      </c>
    </row>
    <row r="649" spans="1:2" x14ac:dyDescent="0.25">
      <c r="A649" s="187">
        <v>483212</v>
      </c>
      <c r="B649" s="187" t="s">
        <v>935</v>
      </c>
    </row>
    <row r="650" spans="1:2" x14ac:dyDescent="0.25">
      <c r="A650" s="187">
        <v>484110</v>
      </c>
      <c r="B650" s="187" t="s">
        <v>936</v>
      </c>
    </row>
    <row r="651" spans="1:2" x14ac:dyDescent="0.25">
      <c r="A651" s="187">
        <v>484121</v>
      </c>
      <c r="B651" s="187" t="s">
        <v>937</v>
      </c>
    </row>
    <row r="652" spans="1:2" x14ac:dyDescent="0.25">
      <c r="A652" s="187">
        <v>484122</v>
      </c>
      <c r="B652" s="187" t="s">
        <v>938</v>
      </c>
    </row>
    <row r="653" spans="1:2" x14ac:dyDescent="0.25">
      <c r="A653" s="187">
        <v>484210</v>
      </c>
      <c r="B653" s="187" t="s">
        <v>939</v>
      </c>
    </row>
    <row r="654" spans="1:2" x14ac:dyDescent="0.25">
      <c r="A654" s="187">
        <v>484220</v>
      </c>
      <c r="B654" s="187" t="s">
        <v>940</v>
      </c>
    </row>
    <row r="655" spans="1:2" x14ac:dyDescent="0.25">
      <c r="A655" s="187">
        <v>484230</v>
      </c>
      <c r="B655" s="187" t="s">
        <v>941</v>
      </c>
    </row>
    <row r="656" spans="1:2" x14ac:dyDescent="0.25">
      <c r="A656" s="187">
        <v>485111</v>
      </c>
      <c r="B656" s="187" t="s">
        <v>942</v>
      </c>
    </row>
    <row r="657" spans="1:2" x14ac:dyDescent="0.25">
      <c r="A657" s="187">
        <v>485112</v>
      </c>
      <c r="B657" s="187" t="s">
        <v>943</v>
      </c>
    </row>
    <row r="658" spans="1:2" x14ac:dyDescent="0.25">
      <c r="A658" s="187">
        <v>485113</v>
      </c>
      <c r="B658" s="187" t="s">
        <v>944</v>
      </c>
    </row>
    <row r="659" spans="1:2" x14ac:dyDescent="0.25">
      <c r="A659" s="187">
        <v>485119</v>
      </c>
      <c r="B659" s="187" t="s">
        <v>945</v>
      </c>
    </row>
    <row r="660" spans="1:2" x14ac:dyDescent="0.25">
      <c r="A660" s="187">
        <v>485210</v>
      </c>
      <c r="B660" s="187" t="s">
        <v>946</v>
      </c>
    </row>
    <row r="661" spans="1:2" x14ac:dyDescent="0.25">
      <c r="A661" s="187">
        <v>485310</v>
      </c>
      <c r="B661" s="187" t="s">
        <v>947</v>
      </c>
    </row>
    <row r="662" spans="1:2" x14ac:dyDescent="0.25">
      <c r="A662" s="187">
        <v>485320</v>
      </c>
      <c r="B662" s="187" t="s">
        <v>948</v>
      </c>
    </row>
    <row r="663" spans="1:2" x14ac:dyDescent="0.25">
      <c r="A663" s="187">
        <v>485410</v>
      </c>
      <c r="B663" s="187" t="s">
        <v>949</v>
      </c>
    </row>
    <row r="664" spans="1:2" x14ac:dyDescent="0.25">
      <c r="A664" s="187">
        <v>485510</v>
      </c>
      <c r="B664" s="187" t="s">
        <v>950</v>
      </c>
    </row>
    <row r="665" spans="1:2" x14ac:dyDescent="0.25">
      <c r="A665" s="187">
        <v>485991</v>
      </c>
      <c r="B665" s="187" t="s">
        <v>951</v>
      </c>
    </row>
    <row r="666" spans="1:2" x14ac:dyDescent="0.25">
      <c r="A666" s="187">
        <v>485999</v>
      </c>
      <c r="B666" s="187" t="s">
        <v>952</v>
      </c>
    </row>
    <row r="667" spans="1:2" x14ac:dyDescent="0.25">
      <c r="A667" s="187">
        <v>486110</v>
      </c>
      <c r="B667" s="187" t="s">
        <v>953</v>
      </c>
    </row>
    <row r="668" spans="1:2" x14ac:dyDescent="0.25">
      <c r="A668" s="187">
        <v>486210</v>
      </c>
      <c r="B668" s="187" t="s">
        <v>954</v>
      </c>
    </row>
    <row r="669" spans="1:2" x14ac:dyDescent="0.25">
      <c r="A669" s="187">
        <v>486910</v>
      </c>
      <c r="B669" s="187" t="s">
        <v>955</v>
      </c>
    </row>
    <row r="670" spans="1:2" x14ac:dyDescent="0.25">
      <c r="A670" s="187">
        <v>486990</v>
      </c>
      <c r="B670" s="187" t="s">
        <v>956</v>
      </c>
    </row>
    <row r="671" spans="1:2" x14ac:dyDescent="0.25">
      <c r="A671" s="187">
        <v>487110</v>
      </c>
      <c r="B671" s="187" t="s">
        <v>957</v>
      </c>
    </row>
    <row r="672" spans="1:2" x14ac:dyDescent="0.25">
      <c r="A672" s="187">
        <v>487210</v>
      </c>
      <c r="B672" s="187" t="s">
        <v>958</v>
      </c>
    </row>
    <row r="673" spans="1:2" x14ac:dyDescent="0.25">
      <c r="A673" s="187">
        <v>487990</v>
      </c>
      <c r="B673" s="187" t="s">
        <v>959</v>
      </c>
    </row>
    <row r="674" spans="1:2" x14ac:dyDescent="0.25">
      <c r="A674" s="187">
        <v>488111</v>
      </c>
      <c r="B674" s="187" t="s">
        <v>960</v>
      </c>
    </row>
    <row r="675" spans="1:2" x14ac:dyDescent="0.25">
      <c r="A675" s="187">
        <v>488119</v>
      </c>
      <c r="B675" s="187" t="s">
        <v>961</v>
      </c>
    </row>
    <row r="676" spans="1:2" x14ac:dyDescent="0.25">
      <c r="A676" s="187">
        <v>488190</v>
      </c>
      <c r="B676" s="187" t="s">
        <v>962</v>
      </c>
    </row>
    <row r="677" spans="1:2" x14ac:dyDescent="0.25">
      <c r="A677" s="187">
        <v>488210</v>
      </c>
      <c r="B677" s="187" t="s">
        <v>963</v>
      </c>
    </row>
    <row r="678" spans="1:2" x14ac:dyDescent="0.25">
      <c r="A678" s="187">
        <v>488310</v>
      </c>
      <c r="B678" s="187" t="s">
        <v>964</v>
      </c>
    </row>
    <row r="679" spans="1:2" x14ac:dyDescent="0.25">
      <c r="A679" s="187">
        <v>488320</v>
      </c>
      <c r="B679" s="187" t="s">
        <v>965</v>
      </c>
    </row>
    <row r="680" spans="1:2" x14ac:dyDescent="0.25">
      <c r="A680" s="187">
        <v>488330</v>
      </c>
      <c r="B680" s="187" t="s">
        <v>966</v>
      </c>
    </row>
    <row r="681" spans="1:2" x14ac:dyDescent="0.25">
      <c r="A681" s="187">
        <v>488390</v>
      </c>
      <c r="B681" s="187" t="s">
        <v>967</v>
      </c>
    </row>
    <row r="682" spans="1:2" x14ac:dyDescent="0.25">
      <c r="A682" s="187">
        <v>488410</v>
      </c>
      <c r="B682" s="187" t="s">
        <v>968</v>
      </c>
    </row>
    <row r="683" spans="1:2" x14ac:dyDescent="0.25">
      <c r="A683" s="187">
        <v>488490</v>
      </c>
      <c r="B683" s="187" t="s">
        <v>969</v>
      </c>
    </row>
    <row r="684" spans="1:2" x14ac:dyDescent="0.25">
      <c r="A684" s="187">
        <v>488510</v>
      </c>
      <c r="B684" s="187" t="s">
        <v>970</v>
      </c>
    </row>
    <row r="685" spans="1:2" x14ac:dyDescent="0.25">
      <c r="A685" s="187">
        <v>488991</v>
      </c>
      <c r="B685" s="187" t="s">
        <v>971</v>
      </c>
    </row>
    <row r="686" spans="1:2" x14ac:dyDescent="0.25">
      <c r="A686" s="187">
        <v>488999</v>
      </c>
      <c r="B686" s="187" t="s">
        <v>972</v>
      </c>
    </row>
    <row r="687" spans="1:2" x14ac:dyDescent="0.25">
      <c r="A687" s="187">
        <v>491110</v>
      </c>
      <c r="B687" s="187" t="s">
        <v>973</v>
      </c>
    </row>
    <row r="688" spans="1:2" x14ac:dyDescent="0.25">
      <c r="A688" s="187">
        <v>492110</v>
      </c>
      <c r="B688" s="187" t="s">
        <v>974</v>
      </c>
    </row>
    <row r="689" spans="1:2" x14ac:dyDescent="0.25">
      <c r="A689" s="187">
        <v>492210</v>
      </c>
      <c r="B689" s="187" t="s">
        <v>975</v>
      </c>
    </row>
    <row r="690" spans="1:2" x14ac:dyDescent="0.25">
      <c r="A690" s="187">
        <v>493110</v>
      </c>
      <c r="B690" s="187" t="s">
        <v>976</v>
      </c>
    </row>
    <row r="691" spans="1:2" x14ac:dyDescent="0.25">
      <c r="A691" s="187">
        <v>493120</v>
      </c>
      <c r="B691" s="187" t="s">
        <v>977</v>
      </c>
    </row>
    <row r="692" spans="1:2" x14ac:dyDescent="0.25">
      <c r="A692" s="187">
        <v>493130</v>
      </c>
      <c r="B692" s="187" t="s">
        <v>978</v>
      </c>
    </row>
    <row r="693" spans="1:2" x14ac:dyDescent="0.25">
      <c r="A693" s="187">
        <v>493190</v>
      </c>
      <c r="B693" s="187" t="s">
        <v>979</v>
      </c>
    </row>
    <row r="694" spans="1:2" x14ac:dyDescent="0.25">
      <c r="A694" s="187">
        <v>511110</v>
      </c>
      <c r="B694" s="187" t="s">
        <v>980</v>
      </c>
    </row>
    <row r="695" spans="1:2" x14ac:dyDescent="0.25">
      <c r="A695" s="187">
        <v>511120</v>
      </c>
      <c r="B695" s="187" t="s">
        <v>981</v>
      </c>
    </row>
    <row r="696" spans="1:2" x14ac:dyDescent="0.25">
      <c r="A696" s="187">
        <v>511130</v>
      </c>
      <c r="B696" s="187" t="s">
        <v>982</v>
      </c>
    </row>
    <row r="697" spans="1:2" x14ac:dyDescent="0.25">
      <c r="A697" s="187">
        <v>511140</v>
      </c>
      <c r="B697" s="187" t="s">
        <v>983</v>
      </c>
    </row>
    <row r="698" spans="1:2" x14ac:dyDescent="0.25">
      <c r="A698" s="187">
        <v>511191</v>
      </c>
      <c r="B698" s="187" t="s">
        <v>984</v>
      </c>
    </row>
    <row r="699" spans="1:2" x14ac:dyDescent="0.25">
      <c r="A699" s="187">
        <v>511199</v>
      </c>
      <c r="B699" s="187" t="s">
        <v>985</v>
      </c>
    </row>
    <row r="700" spans="1:2" x14ac:dyDescent="0.25">
      <c r="A700" s="187">
        <v>511210</v>
      </c>
      <c r="B700" s="187" t="s">
        <v>986</v>
      </c>
    </row>
    <row r="701" spans="1:2" x14ac:dyDescent="0.25">
      <c r="A701" s="187">
        <v>512110</v>
      </c>
      <c r="B701" s="187" t="s">
        <v>987</v>
      </c>
    </row>
    <row r="702" spans="1:2" x14ac:dyDescent="0.25">
      <c r="A702" s="187">
        <v>512120</v>
      </c>
      <c r="B702" s="187" t="s">
        <v>988</v>
      </c>
    </row>
    <row r="703" spans="1:2" x14ac:dyDescent="0.25">
      <c r="A703" s="187">
        <v>512131</v>
      </c>
      <c r="B703" s="187" t="s">
        <v>989</v>
      </c>
    </row>
    <row r="704" spans="1:2" x14ac:dyDescent="0.25">
      <c r="A704" s="187">
        <v>512132</v>
      </c>
      <c r="B704" s="187" t="s">
        <v>990</v>
      </c>
    </row>
    <row r="705" spans="1:2" x14ac:dyDescent="0.25">
      <c r="A705" s="187">
        <v>512191</v>
      </c>
      <c r="B705" s="187" t="s">
        <v>991</v>
      </c>
    </row>
    <row r="706" spans="1:2" x14ac:dyDescent="0.25">
      <c r="A706" s="187">
        <v>512199</v>
      </c>
      <c r="B706" s="187" t="s">
        <v>992</v>
      </c>
    </row>
    <row r="707" spans="1:2" x14ac:dyDescent="0.25">
      <c r="A707" s="187">
        <v>512230</v>
      </c>
      <c r="B707" s="187" t="s">
        <v>993</v>
      </c>
    </row>
    <row r="708" spans="1:2" x14ac:dyDescent="0.25">
      <c r="A708" s="187">
        <v>512240</v>
      </c>
      <c r="B708" s="187" t="s">
        <v>994</v>
      </c>
    </row>
    <row r="709" spans="1:2" x14ac:dyDescent="0.25">
      <c r="A709" s="187">
        <v>512250</v>
      </c>
      <c r="B709" s="187" t="s">
        <v>2379</v>
      </c>
    </row>
    <row r="710" spans="1:2" x14ac:dyDescent="0.25">
      <c r="A710" s="187">
        <v>512290</v>
      </c>
      <c r="B710" s="187" t="s">
        <v>995</v>
      </c>
    </row>
    <row r="711" spans="1:2" x14ac:dyDescent="0.25">
      <c r="A711" s="187">
        <v>515111</v>
      </c>
      <c r="B711" s="187" t="s">
        <v>996</v>
      </c>
    </row>
    <row r="712" spans="1:2" x14ac:dyDescent="0.25">
      <c r="A712" s="187">
        <v>515112</v>
      </c>
      <c r="B712" s="187" t="s">
        <v>997</v>
      </c>
    </row>
    <row r="713" spans="1:2" x14ac:dyDescent="0.25">
      <c r="A713" s="187">
        <v>515120</v>
      </c>
      <c r="B713" s="187" t="s">
        <v>998</v>
      </c>
    </row>
    <row r="714" spans="1:2" x14ac:dyDescent="0.25">
      <c r="A714" s="187">
        <v>515210</v>
      </c>
      <c r="B714" s="187" t="s">
        <v>999</v>
      </c>
    </row>
    <row r="715" spans="1:2" x14ac:dyDescent="0.25">
      <c r="A715" s="187">
        <v>517311</v>
      </c>
      <c r="B715" s="187" t="s">
        <v>1000</v>
      </c>
    </row>
    <row r="716" spans="1:2" x14ac:dyDescent="0.25">
      <c r="A716" s="187">
        <v>517312</v>
      </c>
      <c r="B716" s="187" t="s">
        <v>1001</v>
      </c>
    </row>
    <row r="717" spans="1:2" x14ac:dyDescent="0.25">
      <c r="A717" s="187">
        <v>517410</v>
      </c>
      <c r="B717" s="187" t="s">
        <v>1002</v>
      </c>
    </row>
    <row r="718" spans="1:2" x14ac:dyDescent="0.25">
      <c r="A718" s="187">
        <v>517911</v>
      </c>
      <c r="B718" s="187" t="s">
        <v>1003</v>
      </c>
    </row>
    <row r="719" spans="1:2" x14ac:dyDescent="0.25">
      <c r="A719" s="187">
        <v>517919</v>
      </c>
      <c r="B719" s="187" t="s">
        <v>1004</v>
      </c>
    </row>
    <row r="720" spans="1:2" x14ac:dyDescent="0.25">
      <c r="A720" s="187">
        <v>518210</v>
      </c>
      <c r="B720" s="187" t="s">
        <v>1005</v>
      </c>
    </row>
    <row r="721" spans="1:2" x14ac:dyDescent="0.25">
      <c r="A721" s="187">
        <v>519110</v>
      </c>
      <c r="B721" s="187" t="s">
        <v>1006</v>
      </c>
    </row>
    <row r="722" spans="1:2" x14ac:dyDescent="0.25">
      <c r="A722" s="187">
        <v>519120</v>
      </c>
      <c r="B722" s="187" t="s">
        <v>1007</v>
      </c>
    </row>
    <row r="723" spans="1:2" x14ac:dyDescent="0.25">
      <c r="A723" s="187">
        <v>519130</v>
      </c>
      <c r="B723" s="187" t="s">
        <v>1008</v>
      </c>
    </row>
    <row r="724" spans="1:2" x14ac:dyDescent="0.25">
      <c r="A724" s="187">
        <v>519190</v>
      </c>
      <c r="B724" s="187" t="s">
        <v>1009</v>
      </c>
    </row>
    <row r="725" spans="1:2" x14ac:dyDescent="0.25">
      <c r="A725" s="187">
        <v>521110</v>
      </c>
      <c r="B725" s="187" t="s">
        <v>1010</v>
      </c>
    </row>
    <row r="726" spans="1:2" x14ac:dyDescent="0.25">
      <c r="A726" s="187">
        <v>522110</v>
      </c>
      <c r="B726" s="187" t="s">
        <v>1011</v>
      </c>
    </row>
    <row r="727" spans="1:2" x14ac:dyDescent="0.25">
      <c r="A727" s="187">
        <v>522120</v>
      </c>
      <c r="B727" s="187" t="s">
        <v>1012</v>
      </c>
    </row>
    <row r="728" spans="1:2" x14ac:dyDescent="0.25">
      <c r="A728" s="187">
        <v>522130</v>
      </c>
      <c r="B728" s="187" t="s">
        <v>1013</v>
      </c>
    </row>
    <row r="729" spans="1:2" x14ac:dyDescent="0.25">
      <c r="A729" s="187">
        <v>522190</v>
      </c>
      <c r="B729" s="187" t="s">
        <v>1014</v>
      </c>
    </row>
    <row r="730" spans="1:2" x14ac:dyDescent="0.25">
      <c r="A730" s="187">
        <v>522210</v>
      </c>
      <c r="B730" s="187" t="s">
        <v>1015</v>
      </c>
    </row>
    <row r="731" spans="1:2" x14ac:dyDescent="0.25">
      <c r="A731" s="187">
        <v>522220</v>
      </c>
      <c r="B731" s="187" t="s">
        <v>1016</v>
      </c>
    </row>
    <row r="732" spans="1:2" x14ac:dyDescent="0.25">
      <c r="A732" s="187">
        <v>522291</v>
      </c>
      <c r="B732" s="187" t="s">
        <v>1017</v>
      </c>
    </row>
    <row r="733" spans="1:2" x14ac:dyDescent="0.25">
      <c r="A733" s="187">
        <v>522292</v>
      </c>
      <c r="B733" s="187" t="s">
        <v>1018</v>
      </c>
    </row>
    <row r="734" spans="1:2" x14ac:dyDescent="0.25">
      <c r="A734" s="187">
        <v>522293</v>
      </c>
      <c r="B734" s="187" t="s">
        <v>1019</v>
      </c>
    </row>
    <row r="735" spans="1:2" x14ac:dyDescent="0.25">
      <c r="A735" s="187">
        <v>522294</v>
      </c>
      <c r="B735" s="187" t="s">
        <v>1020</v>
      </c>
    </row>
    <row r="736" spans="1:2" x14ac:dyDescent="0.25">
      <c r="A736" s="187">
        <v>522298</v>
      </c>
      <c r="B736" s="187" t="s">
        <v>1021</v>
      </c>
    </row>
    <row r="737" spans="1:2" x14ac:dyDescent="0.25">
      <c r="A737" s="187">
        <v>522310</v>
      </c>
      <c r="B737" s="187" t="s">
        <v>1022</v>
      </c>
    </row>
    <row r="738" spans="1:2" x14ac:dyDescent="0.25">
      <c r="A738" s="187">
        <v>522320</v>
      </c>
      <c r="B738" s="187" t="s">
        <v>1023</v>
      </c>
    </row>
    <row r="739" spans="1:2" x14ac:dyDescent="0.25">
      <c r="A739" s="187">
        <v>522390</v>
      </c>
      <c r="B739" s="187" t="s">
        <v>1024</v>
      </c>
    </row>
    <row r="740" spans="1:2" x14ac:dyDescent="0.25">
      <c r="A740" s="187">
        <v>523110</v>
      </c>
      <c r="B740" s="187" t="s">
        <v>1025</v>
      </c>
    </row>
    <row r="741" spans="1:2" x14ac:dyDescent="0.25">
      <c r="A741" s="187">
        <v>523120</v>
      </c>
      <c r="B741" s="187" t="s">
        <v>1026</v>
      </c>
    </row>
    <row r="742" spans="1:2" x14ac:dyDescent="0.25">
      <c r="A742" s="187">
        <v>523130</v>
      </c>
      <c r="B742" s="187" t="s">
        <v>1027</v>
      </c>
    </row>
    <row r="743" spans="1:2" x14ac:dyDescent="0.25">
      <c r="A743" s="187">
        <v>523140</v>
      </c>
      <c r="B743" s="187" t="s">
        <v>1028</v>
      </c>
    </row>
    <row r="744" spans="1:2" x14ac:dyDescent="0.25">
      <c r="A744" s="187">
        <v>523210</v>
      </c>
      <c r="B744" s="187" t="s">
        <v>1029</v>
      </c>
    </row>
    <row r="745" spans="1:2" x14ac:dyDescent="0.25">
      <c r="A745" s="187">
        <v>523910</v>
      </c>
      <c r="B745" s="187" t="s">
        <v>1030</v>
      </c>
    </row>
    <row r="746" spans="1:2" x14ac:dyDescent="0.25">
      <c r="A746" s="187">
        <v>523920</v>
      </c>
      <c r="B746" s="187" t="s">
        <v>1031</v>
      </c>
    </row>
    <row r="747" spans="1:2" x14ac:dyDescent="0.25">
      <c r="A747" s="187">
        <v>523930</v>
      </c>
      <c r="B747" s="187" t="s">
        <v>1032</v>
      </c>
    </row>
    <row r="748" spans="1:2" x14ac:dyDescent="0.25">
      <c r="A748" s="187">
        <v>523991</v>
      </c>
      <c r="B748" s="187" t="s">
        <v>1033</v>
      </c>
    </row>
    <row r="749" spans="1:2" x14ac:dyDescent="0.25">
      <c r="A749" s="187">
        <v>523999</v>
      </c>
      <c r="B749" s="187" t="s">
        <v>1034</v>
      </c>
    </row>
    <row r="750" spans="1:2" x14ac:dyDescent="0.25">
      <c r="A750" s="187">
        <v>524113</v>
      </c>
      <c r="B750" s="187" t="s">
        <v>1035</v>
      </c>
    </row>
    <row r="751" spans="1:2" x14ac:dyDescent="0.25">
      <c r="A751" s="187">
        <v>524114</v>
      </c>
      <c r="B751" s="187" t="s">
        <v>1036</v>
      </c>
    </row>
    <row r="752" spans="1:2" x14ac:dyDescent="0.25">
      <c r="A752" s="187">
        <v>524126</v>
      </c>
      <c r="B752" s="187" t="s">
        <v>1037</v>
      </c>
    </row>
    <row r="753" spans="1:2" x14ac:dyDescent="0.25">
      <c r="A753" s="187">
        <v>524127</v>
      </c>
      <c r="B753" s="187" t="s">
        <v>1038</v>
      </c>
    </row>
    <row r="754" spans="1:2" x14ac:dyDescent="0.25">
      <c r="A754" s="187">
        <v>524128</v>
      </c>
      <c r="B754" s="187" t="s">
        <v>1039</v>
      </c>
    </row>
    <row r="755" spans="1:2" x14ac:dyDescent="0.25">
      <c r="A755" s="187">
        <v>524130</v>
      </c>
      <c r="B755" s="187" t="s">
        <v>1040</v>
      </c>
    </row>
    <row r="756" spans="1:2" x14ac:dyDescent="0.25">
      <c r="A756" s="187">
        <v>524210</v>
      </c>
      <c r="B756" s="187" t="s">
        <v>1041</v>
      </c>
    </row>
    <row r="757" spans="1:2" x14ac:dyDescent="0.25">
      <c r="A757" s="187">
        <v>524291</v>
      </c>
      <c r="B757" s="187" t="s">
        <v>1042</v>
      </c>
    </row>
    <row r="758" spans="1:2" x14ac:dyDescent="0.25">
      <c r="A758" s="187">
        <v>524292</v>
      </c>
      <c r="B758" s="187" t="s">
        <v>1043</v>
      </c>
    </row>
    <row r="759" spans="1:2" x14ac:dyDescent="0.25">
      <c r="A759" s="187">
        <v>524298</v>
      </c>
      <c r="B759" s="187" t="s">
        <v>1044</v>
      </c>
    </row>
    <row r="760" spans="1:2" x14ac:dyDescent="0.25">
      <c r="A760" s="187">
        <v>525110</v>
      </c>
      <c r="B760" s="187" t="s">
        <v>1045</v>
      </c>
    </row>
    <row r="761" spans="1:2" x14ac:dyDescent="0.25">
      <c r="A761" s="187">
        <v>525120</v>
      </c>
      <c r="B761" s="187" t="s">
        <v>1046</v>
      </c>
    </row>
    <row r="762" spans="1:2" x14ac:dyDescent="0.25">
      <c r="A762" s="187">
        <v>525190</v>
      </c>
      <c r="B762" s="187" t="s">
        <v>1047</v>
      </c>
    </row>
    <row r="763" spans="1:2" x14ac:dyDescent="0.25">
      <c r="A763" s="187">
        <v>525910</v>
      </c>
      <c r="B763" s="187" t="s">
        <v>1048</v>
      </c>
    </row>
    <row r="764" spans="1:2" x14ac:dyDescent="0.25">
      <c r="A764" s="187">
        <v>525920</v>
      </c>
      <c r="B764" s="187" t="s">
        <v>1049</v>
      </c>
    </row>
    <row r="765" spans="1:2" x14ac:dyDescent="0.25">
      <c r="A765" s="187">
        <v>525990</v>
      </c>
      <c r="B765" s="187" t="s">
        <v>1050</v>
      </c>
    </row>
    <row r="766" spans="1:2" x14ac:dyDescent="0.25">
      <c r="A766" s="187">
        <v>531110</v>
      </c>
      <c r="B766" s="187" t="s">
        <v>1051</v>
      </c>
    </row>
    <row r="767" spans="1:2" x14ac:dyDescent="0.25">
      <c r="A767" s="187">
        <v>531120</v>
      </c>
      <c r="B767" s="187" t="s">
        <v>1052</v>
      </c>
    </row>
    <row r="768" spans="1:2" x14ac:dyDescent="0.25">
      <c r="A768" s="187">
        <v>531130</v>
      </c>
      <c r="B768" s="187" t="s">
        <v>1053</v>
      </c>
    </row>
    <row r="769" spans="1:2" x14ac:dyDescent="0.25">
      <c r="A769" s="187">
        <v>531190</v>
      </c>
      <c r="B769" s="187" t="s">
        <v>1054</v>
      </c>
    </row>
    <row r="770" spans="1:2" x14ac:dyDescent="0.25">
      <c r="A770" s="187">
        <v>531210</v>
      </c>
      <c r="B770" s="187" t="s">
        <v>1055</v>
      </c>
    </row>
    <row r="771" spans="1:2" x14ac:dyDescent="0.25">
      <c r="A771" s="187">
        <v>531311</v>
      </c>
      <c r="B771" s="187" t="s">
        <v>1056</v>
      </c>
    </row>
    <row r="772" spans="1:2" x14ac:dyDescent="0.25">
      <c r="A772" s="187">
        <v>531312</v>
      </c>
      <c r="B772" s="187" t="s">
        <v>1057</v>
      </c>
    </row>
    <row r="773" spans="1:2" x14ac:dyDescent="0.25">
      <c r="A773" s="187">
        <v>531320</v>
      </c>
      <c r="B773" s="187" t="s">
        <v>1058</v>
      </c>
    </row>
    <row r="774" spans="1:2" x14ac:dyDescent="0.25">
      <c r="A774" s="187">
        <v>531390</v>
      </c>
      <c r="B774" s="187" t="s">
        <v>1059</v>
      </c>
    </row>
    <row r="775" spans="1:2" x14ac:dyDescent="0.25">
      <c r="A775" s="187">
        <v>532111</v>
      </c>
      <c r="B775" s="187" t="s">
        <v>1060</v>
      </c>
    </row>
    <row r="776" spans="1:2" x14ac:dyDescent="0.25">
      <c r="A776" s="187">
        <v>532112</v>
      </c>
      <c r="B776" s="187" t="s">
        <v>1061</v>
      </c>
    </row>
    <row r="777" spans="1:2" x14ac:dyDescent="0.25">
      <c r="A777" s="187">
        <v>532120</v>
      </c>
      <c r="B777" s="187" t="s">
        <v>1062</v>
      </c>
    </row>
    <row r="778" spans="1:2" x14ac:dyDescent="0.25">
      <c r="A778" s="187">
        <v>532210</v>
      </c>
      <c r="B778" s="187" t="s">
        <v>1063</v>
      </c>
    </row>
    <row r="779" spans="1:2" x14ac:dyDescent="0.25">
      <c r="A779" s="187">
        <v>532281</v>
      </c>
      <c r="B779" s="187" t="s">
        <v>1064</v>
      </c>
    </row>
    <row r="780" spans="1:2" x14ac:dyDescent="0.25">
      <c r="A780" s="187">
        <v>532282</v>
      </c>
      <c r="B780" s="187" t="s">
        <v>1065</v>
      </c>
    </row>
    <row r="781" spans="1:2" x14ac:dyDescent="0.25">
      <c r="A781" s="187">
        <v>532283</v>
      </c>
      <c r="B781" s="187" t="s">
        <v>1066</v>
      </c>
    </row>
    <row r="782" spans="1:2" x14ac:dyDescent="0.25">
      <c r="A782" s="187">
        <v>532284</v>
      </c>
      <c r="B782" s="187" t="s">
        <v>1067</v>
      </c>
    </row>
    <row r="783" spans="1:2" x14ac:dyDescent="0.25">
      <c r="A783" s="187">
        <v>532289</v>
      </c>
      <c r="B783" s="187" t="s">
        <v>1068</v>
      </c>
    </row>
    <row r="784" spans="1:2" x14ac:dyDescent="0.25">
      <c r="A784" s="187">
        <v>532310</v>
      </c>
      <c r="B784" s="187" t="s">
        <v>1069</v>
      </c>
    </row>
    <row r="785" spans="1:2" x14ac:dyDescent="0.25">
      <c r="A785" s="187">
        <v>532411</v>
      </c>
      <c r="B785" s="187" t="s">
        <v>1070</v>
      </c>
    </row>
    <row r="786" spans="1:2" x14ac:dyDescent="0.25">
      <c r="A786" s="187">
        <v>532412</v>
      </c>
      <c r="B786" s="187" t="s">
        <v>1071</v>
      </c>
    </row>
    <row r="787" spans="1:2" x14ac:dyDescent="0.25">
      <c r="A787" s="187">
        <v>532420</v>
      </c>
      <c r="B787" s="187" t="s">
        <v>1072</v>
      </c>
    </row>
    <row r="788" spans="1:2" x14ac:dyDescent="0.25">
      <c r="A788" s="187">
        <v>532490</v>
      </c>
      <c r="B788" s="187" t="s">
        <v>1073</v>
      </c>
    </row>
    <row r="789" spans="1:2" x14ac:dyDescent="0.25">
      <c r="A789" s="187">
        <v>533110</v>
      </c>
      <c r="B789" s="187" t="s">
        <v>1074</v>
      </c>
    </row>
    <row r="790" spans="1:2" x14ac:dyDescent="0.25">
      <c r="A790" s="187">
        <v>541110</v>
      </c>
      <c r="B790" s="187" t="s">
        <v>1075</v>
      </c>
    </row>
    <row r="791" spans="1:2" x14ac:dyDescent="0.25">
      <c r="A791" s="187">
        <v>541120</v>
      </c>
      <c r="B791" s="187" t="s">
        <v>1076</v>
      </c>
    </row>
    <row r="792" spans="1:2" x14ac:dyDescent="0.25">
      <c r="A792" s="187">
        <v>541191</v>
      </c>
      <c r="B792" s="187" t="s">
        <v>1077</v>
      </c>
    </row>
    <row r="793" spans="1:2" x14ac:dyDescent="0.25">
      <c r="A793" s="187">
        <v>541199</v>
      </c>
      <c r="B793" s="187" t="s">
        <v>1078</v>
      </c>
    </row>
    <row r="794" spans="1:2" x14ac:dyDescent="0.25">
      <c r="A794" s="187">
        <v>541211</v>
      </c>
      <c r="B794" s="187" t="s">
        <v>1079</v>
      </c>
    </row>
    <row r="795" spans="1:2" x14ac:dyDescent="0.25">
      <c r="A795" s="187">
        <v>541213</v>
      </c>
      <c r="B795" s="187" t="s">
        <v>1080</v>
      </c>
    </row>
    <row r="796" spans="1:2" x14ac:dyDescent="0.25">
      <c r="A796" s="187">
        <v>541214</v>
      </c>
      <c r="B796" s="187" t="s">
        <v>1081</v>
      </c>
    </row>
    <row r="797" spans="1:2" x14ac:dyDescent="0.25">
      <c r="A797" s="187">
        <v>541219</v>
      </c>
      <c r="B797" s="187" t="s">
        <v>1082</v>
      </c>
    </row>
    <row r="798" spans="1:2" x14ac:dyDescent="0.25">
      <c r="A798" s="187">
        <v>541310</v>
      </c>
      <c r="B798" s="187" t="s">
        <v>1083</v>
      </c>
    </row>
    <row r="799" spans="1:2" x14ac:dyDescent="0.25">
      <c r="A799" s="187">
        <v>541320</v>
      </c>
      <c r="B799" s="187" t="s">
        <v>1084</v>
      </c>
    </row>
    <row r="800" spans="1:2" x14ac:dyDescent="0.25">
      <c r="A800" s="187">
        <v>541330</v>
      </c>
      <c r="B800" s="187" t="s">
        <v>1085</v>
      </c>
    </row>
    <row r="801" spans="1:2" x14ac:dyDescent="0.25">
      <c r="A801" s="187">
        <v>541340</v>
      </c>
      <c r="B801" s="187" t="s">
        <v>1086</v>
      </c>
    </row>
    <row r="802" spans="1:2" x14ac:dyDescent="0.25">
      <c r="A802" s="187">
        <v>541350</v>
      </c>
      <c r="B802" s="187" t="s">
        <v>1087</v>
      </c>
    </row>
    <row r="803" spans="1:2" x14ac:dyDescent="0.25">
      <c r="A803" s="187">
        <v>541360</v>
      </c>
      <c r="B803" s="187" t="s">
        <v>1088</v>
      </c>
    </row>
    <row r="804" spans="1:2" x14ac:dyDescent="0.25">
      <c r="A804" s="187">
        <v>541370</v>
      </c>
      <c r="B804" s="187" t="s">
        <v>1089</v>
      </c>
    </row>
    <row r="805" spans="1:2" x14ac:dyDescent="0.25">
      <c r="A805" s="187">
        <v>541380</v>
      </c>
      <c r="B805" s="187" t="s">
        <v>1090</v>
      </c>
    </row>
    <row r="806" spans="1:2" x14ac:dyDescent="0.25">
      <c r="A806" s="187">
        <v>541410</v>
      </c>
      <c r="B806" s="187" t="s">
        <v>1091</v>
      </c>
    </row>
    <row r="807" spans="1:2" x14ac:dyDescent="0.25">
      <c r="A807" s="187">
        <v>541420</v>
      </c>
      <c r="B807" s="187" t="s">
        <v>1092</v>
      </c>
    </row>
    <row r="808" spans="1:2" x14ac:dyDescent="0.25">
      <c r="A808" s="187">
        <v>541430</v>
      </c>
      <c r="B808" s="187" t="s">
        <v>1093</v>
      </c>
    </row>
    <row r="809" spans="1:2" x14ac:dyDescent="0.25">
      <c r="A809" s="187">
        <v>541490</v>
      </c>
      <c r="B809" s="187" t="s">
        <v>1094</v>
      </c>
    </row>
    <row r="810" spans="1:2" x14ac:dyDescent="0.25">
      <c r="A810" s="187">
        <v>541511</v>
      </c>
      <c r="B810" s="187" t="s">
        <v>1095</v>
      </c>
    </row>
    <row r="811" spans="1:2" x14ac:dyDescent="0.25">
      <c r="A811" s="187">
        <v>541512</v>
      </c>
      <c r="B811" s="187" t="s">
        <v>1096</v>
      </c>
    </row>
    <row r="812" spans="1:2" x14ac:dyDescent="0.25">
      <c r="A812" s="187">
        <v>541513</v>
      </c>
      <c r="B812" s="187" t="s">
        <v>1097</v>
      </c>
    </row>
    <row r="813" spans="1:2" x14ac:dyDescent="0.25">
      <c r="A813" s="187">
        <v>541519</v>
      </c>
      <c r="B813" s="187" t="s">
        <v>1098</v>
      </c>
    </row>
    <row r="814" spans="1:2" x14ac:dyDescent="0.25">
      <c r="A814" s="187">
        <v>541611</v>
      </c>
      <c r="B814" s="187" t="s">
        <v>1099</v>
      </c>
    </row>
    <row r="815" spans="1:2" x14ac:dyDescent="0.25">
      <c r="A815" s="187">
        <v>541612</v>
      </c>
      <c r="B815" s="187" t="s">
        <v>1100</v>
      </c>
    </row>
    <row r="816" spans="1:2" x14ac:dyDescent="0.25">
      <c r="A816" s="187">
        <v>541613</v>
      </c>
      <c r="B816" s="187" t="s">
        <v>1101</v>
      </c>
    </row>
    <row r="817" spans="1:2" x14ac:dyDescent="0.25">
      <c r="A817" s="187">
        <v>541614</v>
      </c>
      <c r="B817" s="187" t="s">
        <v>1102</v>
      </c>
    </row>
    <row r="818" spans="1:2" x14ac:dyDescent="0.25">
      <c r="A818" s="187">
        <v>541618</v>
      </c>
      <c r="B818" s="187" t="s">
        <v>1103</v>
      </c>
    </row>
    <row r="819" spans="1:2" x14ac:dyDescent="0.25">
      <c r="A819" s="187">
        <v>541620</v>
      </c>
      <c r="B819" s="187" t="s">
        <v>1104</v>
      </c>
    </row>
    <row r="820" spans="1:2" x14ac:dyDescent="0.25">
      <c r="A820" s="187">
        <v>541690</v>
      </c>
      <c r="B820" s="187" t="s">
        <v>1105</v>
      </c>
    </row>
    <row r="821" spans="1:2" x14ac:dyDescent="0.25">
      <c r="A821" s="187">
        <v>541713</v>
      </c>
      <c r="B821" s="187" t="s">
        <v>2380</v>
      </c>
    </row>
    <row r="822" spans="1:2" x14ac:dyDescent="0.25">
      <c r="A822" s="187">
        <v>541714</v>
      </c>
      <c r="B822" s="187" t="s">
        <v>2381</v>
      </c>
    </row>
    <row r="823" spans="1:2" x14ac:dyDescent="0.25">
      <c r="A823" s="187">
        <v>541715</v>
      </c>
      <c r="B823" s="187" t="s">
        <v>2382</v>
      </c>
    </row>
    <row r="824" spans="1:2" x14ac:dyDescent="0.25">
      <c r="A824" s="187">
        <v>541720</v>
      </c>
      <c r="B824" s="187" t="s">
        <v>1106</v>
      </c>
    </row>
    <row r="825" spans="1:2" x14ac:dyDescent="0.25">
      <c r="A825" s="187">
        <v>541810</v>
      </c>
      <c r="B825" s="187" t="s">
        <v>1107</v>
      </c>
    </row>
    <row r="826" spans="1:2" x14ac:dyDescent="0.25">
      <c r="A826" s="187">
        <v>541820</v>
      </c>
      <c r="B826" s="187" t="s">
        <v>1108</v>
      </c>
    </row>
    <row r="827" spans="1:2" x14ac:dyDescent="0.25">
      <c r="A827" s="187">
        <v>541830</v>
      </c>
      <c r="B827" s="187" t="s">
        <v>1109</v>
      </c>
    </row>
    <row r="828" spans="1:2" x14ac:dyDescent="0.25">
      <c r="A828" s="187">
        <v>541840</v>
      </c>
      <c r="B828" s="187" t="s">
        <v>1110</v>
      </c>
    </row>
    <row r="829" spans="1:2" x14ac:dyDescent="0.25">
      <c r="A829" s="187">
        <v>541850</v>
      </c>
      <c r="B829" s="187" t="s">
        <v>1111</v>
      </c>
    </row>
    <row r="830" spans="1:2" x14ac:dyDescent="0.25">
      <c r="A830" s="187">
        <v>541860</v>
      </c>
      <c r="B830" s="187" t="s">
        <v>1112</v>
      </c>
    </row>
    <row r="831" spans="1:2" x14ac:dyDescent="0.25">
      <c r="A831" s="187">
        <v>541870</v>
      </c>
      <c r="B831" s="187" t="s">
        <v>1113</v>
      </c>
    </row>
    <row r="832" spans="1:2" x14ac:dyDescent="0.25">
      <c r="A832" s="187">
        <v>541890</v>
      </c>
      <c r="B832" s="187" t="s">
        <v>1114</v>
      </c>
    </row>
    <row r="833" spans="1:2" x14ac:dyDescent="0.25">
      <c r="A833" s="187">
        <v>541910</v>
      </c>
      <c r="B833" s="187" t="s">
        <v>1115</v>
      </c>
    </row>
    <row r="834" spans="1:2" x14ac:dyDescent="0.25">
      <c r="A834" s="187">
        <v>541921</v>
      </c>
      <c r="B834" s="187" t="s">
        <v>1116</v>
      </c>
    </row>
    <row r="835" spans="1:2" x14ac:dyDescent="0.25">
      <c r="A835" s="187">
        <v>541922</v>
      </c>
      <c r="B835" s="187" t="s">
        <v>1117</v>
      </c>
    </row>
    <row r="836" spans="1:2" x14ac:dyDescent="0.25">
      <c r="A836" s="187">
        <v>541930</v>
      </c>
      <c r="B836" s="187" t="s">
        <v>1118</v>
      </c>
    </row>
    <row r="837" spans="1:2" x14ac:dyDescent="0.25">
      <c r="A837" s="187">
        <v>541940</v>
      </c>
      <c r="B837" s="187" t="s">
        <v>1119</v>
      </c>
    </row>
    <row r="838" spans="1:2" x14ac:dyDescent="0.25">
      <c r="A838" s="187">
        <v>541990</v>
      </c>
      <c r="B838" s="187" t="s">
        <v>1120</v>
      </c>
    </row>
    <row r="839" spans="1:2" x14ac:dyDescent="0.25">
      <c r="A839" s="187">
        <v>551111</v>
      </c>
      <c r="B839" s="187" t="s">
        <v>1121</v>
      </c>
    </row>
    <row r="840" spans="1:2" x14ac:dyDescent="0.25">
      <c r="A840" s="187">
        <v>551112</v>
      </c>
      <c r="B840" s="187" t="s">
        <v>1122</v>
      </c>
    </row>
    <row r="841" spans="1:2" x14ac:dyDescent="0.25">
      <c r="A841" s="187">
        <v>551114</v>
      </c>
      <c r="B841" s="187" t="s">
        <v>1123</v>
      </c>
    </row>
    <row r="842" spans="1:2" x14ac:dyDescent="0.25">
      <c r="A842" s="187">
        <v>561110</v>
      </c>
      <c r="B842" s="187" t="s">
        <v>1124</v>
      </c>
    </row>
    <row r="843" spans="1:2" x14ac:dyDescent="0.25">
      <c r="A843" s="187">
        <v>561210</v>
      </c>
      <c r="B843" s="187" t="s">
        <v>1125</v>
      </c>
    </row>
    <row r="844" spans="1:2" x14ac:dyDescent="0.25">
      <c r="A844" s="187">
        <v>561311</v>
      </c>
      <c r="B844" s="187" t="s">
        <v>1126</v>
      </c>
    </row>
    <row r="845" spans="1:2" x14ac:dyDescent="0.25">
      <c r="A845" s="187">
        <v>561312</v>
      </c>
      <c r="B845" s="187" t="s">
        <v>2383</v>
      </c>
    </row>
    <row r="846" spans="1:2" x14ac:dyDescent="0.25">
      <c r="A846" s="187">
        <v>561320</v>
      </c>
      <c r="B846" s="187" t="s">
        <v>1127</v>
      </c>
    </row>
    <row r="847" spans="1:2" x14ac:dyDescent="0.25">
      <c r="A847" s="187">
        <v>561330</v>
      </c>
      <c r="B847" s="187" t="s">
        <v>1128</v>
      </c>
    </row>
    <row r="848" spans="1:2" x14ac:dyDescent="0.25">
      <c r="A848" s="187">
        <v>561410</v>
      </c>
      <c r="B848" s="187" t="s">
        <v>1129</v>
      </c>
    </row>
    <row r="849" spans="1:2" x14ac:dyDescent="0.25">
      <c r="A849" s="187">
        <v>561421</v>
      </c>
      <c r="B849" s="187" t="s">
        <v>2384</v>
      </c>
    </row>
    <row r="850" spans="1:2" x14ac:dyDescent="0.25">
      <c r="A850" s="187">
        <v>561422</v>
      </c>
      <c r="B850" s="187" t="s">
        <v>1130</v>
      </c>
    </row>
    <row r="851" spans="1:2" x14ac:dyDescent="0.25">
      <c r="A851" s="187">
        <v>561431</v>
      </c>
      <c r="B851" s="187" t="s">
        <v>1131</v>
      </c>
    </row>
    <row r="852" spans="1:2" x14ac:dyDescent="0.25">
      <c r="A852" s="187">
        <v>561439</v>
      </c>
      <c r="B852" s="187" t="s">
        <v>1132</v>
      </c>
    </row>
    <row r="853" spans="1:2" x14ac:dyDescent="0.25">
      <c r="A853" s="187">
        <v>561440</v>
      </c>
      <c r="B853" s="187" t="s">
        <v>1133</v>
      </c>
    </row>
    <row r="854" spans="1:2" x14ac:dyDescent="0.25">
      <c r="A854" s="187">
        <v>561450</v>
      </c>
      <c r="B854" s="187" t="s">
        <v>1134</v>
      </c>
    </row>
    <row r="855" spans="1:2" x14ac:dyDescent="0.25">
      <c r="A855" s="187">
        <v>561491</v>
      </c>
      <c r="B855" s="187" t="s">
        <v>1135</v>
      </c>
    </row>
    <row r="856" spans="1:2" x14ac:dyDescent="0.25">
      <c r="A856" s="187">
        <v>561492</v>
      </c>
      <c r="B856" s="187" t="s">
        <v>1136</v>
      </c>
    </row>
    <row r="857" spans="1:2" x14ac:dyDescent="0.25">
      <c r="A857" s="187">
        <v>561499</v>
      </c>
      <c r="B857" s="187" t="s">
        <v>1137</v>
      </c>
    </row>
    <row r="858" spans="1:2" x14ac:dyDescent="0.25">
      <c r="A858" s="187">
        <v>561510</v>
      </c>
      <c r="B858" s="187" t="s">
        <v>1138</v>
      </c>
    </row>
    <row r="859" spans="1:2" x14ac:dyDescent="0.25">
      <c r="A859" s="187">
        <v>561520</v>
      </c>
      <c r="B859" s="187" t="s">
        <v>1139</v>
      </c>
    </row>
    <row r="860" spans="1:2" x14ac:dyDescent="0.25">
      <c r="A860" s="187">
        <v>561591</v>
      </c>
      <c r="B860" s="187" t="s">
        <v>1140</v>
      </c>
    </row>
    <row r="861" spans="1:2" x14ac:dyDescent="0.25">
      <c r="A861" s="187">
        <v>561599</v>
      </c>
      <c r="B861" s="187" t="s">
        <v>1141</v>
      </c>
    </row>
    <row r="862" spans="1:2" x14ac:dyDescent="0.25">
      <c r="A862" s="187">
        <v>561611</v>
      </c>
      <c r="B862" s="187" t="s">
        <v>1142</v>
      </c>
    </row>
    <row r="863" spans="1:2" x14ac:dyDescent="0.25">
      <c r="A863" s="187">
        <v>561612</v>
      </c>
      <c r="B863" s="187" t="s">
        <v>1143</v>
      </c>
    </row>
    <row r="864" spans="1:2" x14ac:dyDescent="0.25">
      <c r="A864" s="187">
        <v>561613</v>
      </c>
      <c r="B864" s="187" t="s">
        <v>1144</v>
      </c>
    </row>
    <row r="865" spans="1:2" x14ac:dyDescent="0.25">
      <c r="A865" s="187">
        <v>561621</v>
      </c>
      <c r="B865" s="187" t="s">
        <v>1145</v>
      </c>
    </row>
    <row r="866" spans="1:2" x14ac:dyDescent="0.25">
      <c r="A866" s="187">
        <v>561622</v>
      </c>
      <c r="B866" s="187" t="s">
        <v>1146</v>
      </c>
    </row>
    <row r="867" spans="1:2" x14ac:dyDescent="0.25">
      <c r="A867" s="187">
        <v>561710</v>
      </c>
      <c r="B867" s="187" t="s">
        <v>1147</v>
      </c>
    </row>
    <row r="868" spans="1:2" x14ac:dyDescent="0.25">
      <c r="A868" s="187">
        <v>561720</v>
      </c>
      <c r="B868" s="187" t="s">
        <v>1148</v>
      </c>
    </row>
    <row r="869" spans="1:2" x14ac:dyDescent="0.25">
      <c r="A869" s="187">
        <v>561730</v>
      </c>
      <c r="B869" s="187" t="s">
        <v>1149</v>
      </c>
    </row>
    <row r="870" spans="1:2" x14ac:dyDescent="0.25">
      <c r="A870" s="187">
        <v>561740</v>
      </c>
      <c r="B870" s="187" t="s">
        <v>1150</v>
      </c>
    </row>
    <row r="871" spans="1:2" x14ac:dyDescent="0.25">
      <c r="A871" s="187">
        <v>561790</v>
      </c>
      <c r="B871" s="187" t="s">
        <v>1151</v>
      </c>
    </row>
    <row r="872" spans="1:2" x14ac:dyDescent="0.25">
      <c r="A872" s="187">
        <v>561910</v>
      </c>
      <c r="B872" s="187" t="s">
        <v>1152</v>
      </c>
    </row>
    <row r="873" spans="1:2" x14ac:dyDescent="0.25">
      <c r="A873" s="187">
        <v>561920</v>
      </c>
      <c r="B873" s="187" t="s">
        <v>1153</v>
      </c>
    </row>
    <row r="874" spans="1:2" x14ac:dyDescent="0.25">
      <c r="A874" s="187">
        <v>561990</v>
      </c>
      <c r="B874" s="187" t="s">
        <v>1154</v>
      </c>
    </row>
    <row r="875" spans="1:2" x14ac:dyDescent="0.25">
      <c r="A875" s="187">
        <v>562111</v>
      </c>
      <c r="B875" s="187" t="s">
        <v>1155</v>
      </c>
    </row>
    <row r="876" spans="1:2" x14ac:dyDescent="0.25">
      <c r="A876" s="187">
        <v>562112</v>
      </c>
      <c r="B876" s="187" t="s">
        <v>1156</v>
      </c>
    </row>
    <row r="877" spans="1:2" x14ac:dyDescent="0.25">
      <c r="A877" s="187">
        <v>562119</v>
      </c>
      <c r="B877" s="187" t="s">
        <v>1157</v>
      </c>
    </row>
    <row r="878" spans="1:2" x14ac:dyDescent="0.25">
      <c r="A878" s="187">
        <v>562211</v>
      </c>
      <c r="B878" s="187" t="s">
        <v>1158</v>
      </c>
    </row>
    <row r="879" spans="1:2" x14ac:dyDescent="0.25">
      <c r="A879" s="187">
        <v>562212</v>
      </c>
      <c r="B879" s="187" t="s">
        <v>1159</v>
      </c>
    </row>
    <row r="880" spans="1:2" x14ac:dyDescent="0.25">
      <c r="A880" s="187">
        <v>562213</v>
      </c>
      <c r="B880" s="187" t="s">
        <v>1160</v>
      </c>
    </row>
    <row r="881" spans="1:2" x14ac:dyDescent="0.25">
      <c r="A881" s="187">
        <v>562219</v>
      </c>
      <c r="B881" s="187" t="s">
        <v>1161</v>
      </c>
    </row>
    <row r="882" spans="1:2" x14ac:dyDescent="0.25">
      <c r="A882" s="187">
        <v>562910</v>
      </c>
      <c r="B882" s="187" t="s">
        <v>1162</v>
      </c>
    </row>
    <row r="883" spans="1:2" x14ac:dyDescent="0.25">
      <c r="A883" s="187">
        <v>562920</v>
      </c>
      <c r="B883" s="187" t="s">
        <v>1163</v>
      </c>
    </row>
    <row r="884" spans="1:2" x14ac:dyDescent="0.25">
      <c r="A884" s="187">
        <v>562991</v>
      </c>
      <c r="B884" s="187" t="s">
        <v>1164</v>
      </c>
    </row>
    <row r="885" spans="1:2" x14ac:dyDescent="0.25">
      <c r="A885" s="187">
        <v>562998</v>
      </c>
      <c r="B885" s="187" t="s">
        <v>1165</v>
      </c>
    </row>
    <row r="886" spans="1:2" x14ac:dyDescent="0.25">
      <c r="A886" s="187">
        <v>611110</v>
      </c>
      <c r="B886" s="187" t="s">
        <v>1166</v>
      </c>
    </row>
    <row r="887" spans="1:2" x14ac:dyDescent="0.25">
      <c r="A887" s="187">
        <v>611210</v>
      </c>
      <c r="B887" s="187" t="s">
        <v>1167</v>
      </c>
    </row>
    <row r="888" spans="1:2" x14ac:dyDescent="0.25">
      <c r="A888" s="187">
        <v>611310</v>
      </c>
      <c r="B888" s="187" t="s">
        <v>1168</v>
      </c>
    </row>
    <row r="889" spans="1:2" x14ac:dyDescent="0.25">
      <c r="A889" s="187">
        <v>611410</v>
      </c>
      <c r="B889" s="187" t="s">
        <v>1169</v>
      </c>
    </row>
    <row r="890" spans="1:2" x14ac:dyDescent="0.25">
      <c r="A890" s="187">
        <v>611420</v>
      </c>
      <c r="B890" s="187" t="s">
        <v>1170</v>
      </c>
    </row>
    <row r="891" spans="1:2" x14ac:dyDescent="0.25">
      <c r="A891" s="187">
        <v>611430</v>
      </c>
      <c r="B891" s="187" t="s">
        <v>1171</v>
      </c>
    </row>
    <row r="892" spans="1:2" x14ac:dyDescent="0.25">
      <c r="A892" s="187">
        <v>611511</v>
      </c>
      <c r="B892" s="187" t="s">
        <v>1172</v>
      </c>
    </row>
    <row r="893" spans="1:2" x14ac:dyDescent="0.25">
      <c r="A893" s="187">
        <v>611512</v>
      </c>
      <c r="B893" s="187" t="s">
        <v>1173</v>
      </c>
    </row>
    <row r="894" spans="1:2" x14ac:dyDescent="0.25">
      <c r="A894" s="187">
        <v>611513</v>
      </c>
      <c r="B894" s="187" t="s">
        <v>1174</v>
      </c>
    </row>
    <row r="895" spans="1:2" x14ac:dyDescent="0.25">
      <c r="A895" s="187">
        <v>611519</v>
      </c>
      <c r="B895" s="187" t="s">
        <v>1175</v>
      </c>
    </row>
    <row r="896" spans="1:2" x14ac:dyDescent="0.25">
      <c r="A896" s="187">
        <v>611610</v>
      </c>
      <c r="B896" s="187" t="s">
        <v>1176</v>
      </c>
    </row>
    <row r="897" spans="1:2" x14ac:dyDescent="0.25">
      <c r="A897" s="187">
        <v>611620</v>
      </c>
      <c r="B897" s="187" t="s">
        <v>1177</v>
      </c>
    </row>
    <row r="898" spans="1:2" x14ac:dyDescent="0.25">
      <c r="A898" s="187">
        <v>611630</v>
      </c>
      <c r="B898" s="187" t="s">
        <v>1178</v>
      </c>
    </row>
    <row r="899" spans="1:2" x14ac:dyDescent="0.25">
      <c r="A899" s="187">
        <v>611691</v>
      </c>
      <c r="B899" s="187" t="s">
        <v>1179</v>
      </c>
    </row>
    <row r="900" spans="1:2" x14ac:dyDescent="0.25">
      <c r="A900" s="187">
        <v>611692</v>
      </c>
      <c r="B900" s="187" t="s">
        <v>1180</v>
      </c>
    </row>
    <row r="901" spans="1:2" x14ac:dyDescent="0.25">
      <c r="A901" s="187">
        <v>611699</v>
      </c>
      <c r="B901" s="187" t="s">
        <v>1181</v>
      </c>
    </row>
    <row r="902" spans="1:2" x14ac:dyDescent="0.25">
      <c r="A902" s="187">
        <v>611710</v>
      </c>
      <c r="B902" s="187" t="s">
        <v>1182</v>
      </c>
    </row>
    <row r="903" spans="1:2" x14ac:dyDescent="0.25">
      <c r="A903" s="187">
        <v>621111</v>
      </c>
      <c r="B903" s="187" t="s">
        <v>1183</v>
      </c>
    </row>
    <row r="904" spans="1:2" x14ac:dyDescent="0.25">
      <c r="A904" s="187">
        <v>621112</v>
      </c>
      <c r="B904" s="187" t="s">
        <v>1184</v>
      </c>
    </row>
    <row r="905" spans="1:2" x14ac:dyDescent="0.25">
      <c r="A905" s="187">
        <v>621210</v>
      </c>
      <c r="B905" s="187" t="s">
        <v>1185</v>
      </c>
    </row>
    <row r="906" spans="1:2" x14ac:dyDescent="0.25">
      <c r="A906" s="187">
        <v>621310</v>
      </c>
      <c r="B906" s="187" t="s">
        <v>1186</v>
      </c>
    </row>
    <row r="907" spans="1:2" x14ac:dyDescent="0.25">
      <c r="A907" s="187">
        <v>621320</v>
      </c>
      <c r="B907" s="187" t="s">
        <v>1187</v>
      </c>
    </row>
    <row r="908" spans="1:2" x14ac:dyDescent="0.25">
      <c r="A908" s="187">
        <v>621330</v>
      </c>
      <c r="B908" s="187" t="s">
        <v>1188</v>
      </c>
    </row>
    <row r="909" spans="1:2" x14ac:dyDescent="0.25">
      <c r="A909" s="187">
        <v>621340</v>
      </c>
      <c r="B909" s="187" t="s">
        <v>1189</v>
      </c>
    </row>
    <row r="910" spans="1:2" x14ac:dyDescent="0.25">
      <c r="A910" s="187">
        <v>621391</v>
      </c>
      <c r="B910" s="187" t="s">
        <v>1190</v>
      </c>
    </row>
    <row r="911" spans="1:2" x14ac:dyDescent="0.25">
      <c r="A911" s="187">
        <v>621399</v>
      </c>
      <c r="B911" s="187" t="s">
        <v>1191</v>
      </c>
    </row>
    <row r="912" spans="1:2" x14ac:dyDescent="0.25">
      <c r="A912" s="187">
        <v>621410</v>
      </c>
      <c r="B912" s="187" t="s">
        <v>1192</v>
      </c>
    </row>
    <row r="913" spans="1:2" x14ac:dyDescent="0.25">
      <c r="A913" s="187">
        <v>621420</v>
      </c>
      <c r="B913" s="187" t="s">
        <v>1193</v>
      </c>
    </row>
    <row r="914" spans="1:2" x14ac:dyDescent="0.25">
      <c r="A914" s="187">
        <v>621491</v>
      </c>
      <c r="B914" s="187" t="s">
        <v>1194</v>
      </c>
    </row>
    <row r="915" spans="1:2" x14ac:dyDescent="0.25">
      <c r="A915" s="187">
        <v>621492</v>
      </c>
      <c r="B915" s="187" t="s">
        <v>1195</v>
      </c>
    </row>
    <row r="916" spans="1:2" x14ac:dyDescent="0.25">
      <c r="A916" s="187">
        <v>621493</v>
      </c>
      <c r="B916" s="187" t="s">
        <v>1196</v>
      </c>
    </row>
    <row r="917" spans="1:2" x14ac:dyDescent="0.25">
      <c r="A917" s="187">
        <v>621498</v>
      </c>
      <c r="B917" s="187" t="s">
        <v>1197</v>
      </c>
    </row>
    <row r="918" spans="1:2" x14ac:dyDescent="0.25">
      <c r="A918" s="187">
        <v>621511</v>
      </c>
      <c r="B918" s="187" t="s">
        <v>1198</v>
      </c>
    </row>
    <row r="919" spans="1:2" x14ac:dyDescent="0.25">
      <c r="A919" s="187">
        <v>621512</v>
      </c>
      <c r="B919" s="187" t="s">
        <v>1199</v>
      </c>
    </row>
    <row r="920" spans="1:2" x14ac:dyDescent="0.25">
      <c r="A920" s="187">
        <v>621610</v>
      </c>
      <c r="B920" s="187" t="s">
        <v>1200</v>
      </c>
    </row>
    <row r="921" spans="1:2" x14ac:dyDescent="0.25">
      <c r="A921" s="187">
        <v>621910</v>
      </c>
      <c r="B921" s="187" t="s">
        <v>1201</v>
      </c>
    </row>
    <row r="922" spans="1:2" x14ac:dyDescent="0.25">
      <c r="A922" s="187">
        <v>621991</v>
      </c>
      <c r="B922" s="187" t="s">
        <v>1202</v>
      </c>
    </row>
    <row r="923" spans="1:2" x14ac:dyDescent="0.25">
      <c r="A923" s="187">
        <v>621999</v>
      </c>
      <c r="B923" s="187" t="s">
        <v>1203</v>
      </c>
    </row>
    <row r="924" spans="1:2" x14ac:dyDescent="0.25">
      <c r="A924" s="187">
        <v>622110</v>
      </c>
      <c r="B924" s="187" t="s">
        <v>1204</v>
      </c>
    </row>
    <row r="925" spans="1:2" x14ac:dyDescent="0.25">
      <c r="A925" s="187">
        <v>622210</v>
      </c>
      <c r="B925" s="187" t="s">
        <v>1205</v>
      </c>
    </row>
    <row r="926" spans="1:2" x14ac:dyDescent="0.25">
      <c r="A926" s="187">
        <v>622310</v>
      </c>
      <c r="B926" s="187" t="s">
        <v>1206</v>
      </c>
    </row>
    <row r="927" spans="1:2" x14ac:dyDescent="0.25">
      <c r="A927" s="187">
        <v>623110</v>
      </c>
      <c r="B927" s="187" t="s">
        <v>1207</v>
      </c>
    </row>
    <row r="928" spans="1:2" x14ac:dyDescent="0.25">
      <c r="A928" s="187">
        <v>623210</v>
      </c>
      <c r="B928" s="187" t="s">
        <v>1208</v>
      </c>
    </row>
    <row r="929" spans="1:2" x14ac:dyDescent="0.25">
      <c r="A929" s="187">
        <v>623220</v>
      </c>
      <c r="B929" s="187" t="s">
        <v>1209</v>
      </c>
    </row>
    <row r="930" spans="1:2" x14ac:dyDescent="0.25">
      <c r="A930" s="187">
        <v>623311</v>
      </c>
      <c r="B930" s="187" t="s">
        <v>1210</v>
      </c>
    </row>
    <row r="931" spans="1:2" x14ac:dyDescent="0.25">
      <c r="A931" s="187">
        <v>623312</v>
      </c>
      <c r="B931" s="187" t="s">
        <v>1211</v>
      </c>
    </row>
    <row r="932" spans="1:2" x14ac:dyDescent="0.25">
      <c r="A932" s="187">
        <v>623990</v>
      </c>
      <c r="B932" s="187" t="s">
        <v>1212</v>
      </c>
    </row>
    <row r="933" spans="1:2" x14ac:dyDescent="0.25">
      <c r="A933" s="187">
        <v>624110</v>
      </c>
      <c r="B933" s="187" t="s">
        <v>1213</v>
      </c>
    </row>
    <row r="934" spans="1:2" x14ac:dyDescent="0.25">
      <c r="A934" s="187">
        <v>624120</v>
      </c>
      <c r="B934" s="187" t="s">
        <v>1214</v>
      </c>
    </row>
    <row r="935" spans="1:2" x14ac:dyDescent="0.25">
      <c r="A935" s="187">
        <v>624190</v>
      </c>
      <c r="B935" s="187" t="s">
        <v>1215</v>
      </c>
    </row>
    <row r="936" spans="1:2" x14ac:dyDescent="0.25">
      <c r="A936" s="187">
        <v>624210</v>
      </c>
      <c r="B936" s="187" t="s">
        <v>1216</v>
      </c>
    </row>
    <row r="937" spans="1:2" x14ac:dyDescent="0.25">
      <c r="A937" s="187">
        <v>624221</v>
      </c>
      <c r="B937" s="187" t="s">
        <v>1217</v>
      </c>
    </row>
    <row r="938" spans="1:2" x14ac:dyDescent="0.25">
      <c r="A938" s="187">
        <v>624229</v>
      </c>
      <c r="B938" s="187" t="s">
        <v>1218</v>
      </c>
    </row>
    <row r="939" spans="1:2" x14ac:dyDescent="0.25">
      <c r="A939" s="187">
        <v>624230</v>
      </c>
      <c r="B939" s="187" t="s">
        <v>1219</v>
      </c>
    </row>
    <row r="940" spans="1:2" x14ac:dyDescent="0.25">
      <c r="A940" s="187">
        <v>624310</v>
      </c>
      <c r="B940" s="187" t="s">
        <v>1220</v>
      </c>
    </row>
    <row r="941" spans="1:2" x14ac:dyDescent="0.25">
      <c r="A941" s="187">
        <v>624410</v>
      </c>
      <c r="B941" s="187" t="s">
        <v>1221</v>
      </c>
    </row>
    <row r="942" spans="1:2" x14ac:dyDescent="0.25">
      <c r="A942" s="187">
        <v>711110</v>
      </c>
      <c r="B942" s="187" t="s">
        <v>1222</v>
      </c>
    </row>
    <row r="943" spans="1:2" x14ac:dyDescent="0.25">
      <c r="A943" s="187">
        <v>711120</v>
      </c>
      <c r="B943" s="187" t="s">
        <v>1223</v>
      </c>
    </row>
    <row r="944" spans="1:2" x14ac:dyDescent="0.25">
      <c r="A944" s="187">
        <v>711130</v>
      </c>
      <c r="B944" s="187" t="s">
        <v>1224</v>
      </c>
    </row>
    <row r="945" spans="1:2" x14ac:dyDescent="0.25">
      <c r="A945" s="187">
        <v>711190</v>
      </c>
      <c r="B945" s="187" t="s">
        <v>1225</v>
      </c>
    </row>
    <row r="946" spans="1:2" x14ac:dyDescent="0.25">
      <c r="A946" s="187">
        <v>711211</v>
      </c>
      <c r="B946" s="187" t="s">
        <v>1226</v>
      </c>
    </row>
    <row r="947" spans="1:2" x14ac:dyDescent="0.25">
      <c r="A947" s="187">
        <v>711212</v>
      </c>
      <c r="B947" s="187" t="s">
        <v>1227</v>
      </c>
    </row>
    <row r="948" spans="1:2" x14ac:dyDescent="0.25">
      <c r="A948" s="187">
        <v>711219</v>
      </c>
      <c r="B948" s="187" t="s">
        <v>1228</v>
      </c>
    </row>
    <row r="949" spans="1:2" x14ac:dyDescent="0.25">
      <c r="A949" s="187">
        <v>711310</v>
      </c>
      <c r="B949" s="187" t="s">
        <v>1229</v>
      </c>
    </row>
    <row r="950" spans="1:2" x14ac:dyDescent="0.25">
      <c r="A950" s="187">
        <v>711320</v>
      </c>
      <c r="B950" s="187" t="s">
        <v>1230</v>
      </c>
    </row>
    <row r="951" spans="1:2" x14ac:dyDescent="0.25">
      <c r="A951" s="187">
        <v>711410</v>
      </c>
      <c r="B951" s="187" t="s">
        <v>1231</v>
      </c>
    </row>
    <row r="952" spans="1:2" x14ac:dyDescent="0.25">
      <c r="A952" s="187">
        <v>711510</v>
      </c>
      <c r="B952" s="187" t="s">
        <v>1232</v>
      </c>
    </row>
    <row r="953" spans="1:2" x14ac:dyDescent="0.25">
      <c r="A953" s="187">
        <v>712110</v>
      </c>
      <c r="B953" s="187" t="s">
        <v>1233</v>
      </c>
    </row>
    <row r="954" spans="1:2" x14ac:dyDescent="0.25">
      <c r="A954" s="187">
        <v>712120</v>
      </c>
      <c r="B954" s="187" t="s">
        <v>1234</v>
      </c>
    </row>
    <row r="955" spans="1:2" x14ac:dyDescent="0.25">
      <c r="A955" s="187">
        <v>712130</v>
      </c>
      <c r="B955" s="187" t="s">
        <v>1235</v>
      </c>
    </row>
    <row r="956" spans="1:2" x14ac:dyDescent="0.25">
      <c r="A956" s="187">
        <v>712190</v>
      </c>
      <c r="B956" s="187" t="s">
        <v>1236</v>
      </c>
    </row>
    <row r="957" spans="1:2" x14ac:dyDescent="0.25">
      <c r="A957" s="187">
        <v>713110</v>
      </c>
      <c r="B957" s="187" t="s">
        <v>1237</v>
      </c>
    </row>
    <row r="958" spans="1:2" x14ac:dyDescent="0.25">
      <c r="A958" s="187">
        <v>713120</v>
      </c>
      <c r="B958" s="187" t="s">
        <v>1238</v>
      </c>
    </row>
    <row r="959" spans="1:2" x14ac:dyDescent="0.25">
      <c r="A959" s="187">
        <v>713210</v>
      </c>
      <c r="B959" s="187" t="s">
        <v>1239</v>
      </c>
    </row>
    <row r="960" spans="1:2" x14ac:dyDescent="0.25">
      <c r="A960" s="187">
        <v>713290</v>
      </c>
      <c r="B960" s="187" t="s">
        <v>1240</v>
      </c>
    </row>
    <row r="961" spans="1:2" x14ac:dyDescent="0.25">
      <c r="A961" s="187">
        <v>713910</v>
      </c>
      <c r="B961" s="187" t="s">
        <v>1241</v>
      </c>
    </row>
    <row r="962" spans="1:2" x14ac:dyDescent="0.25">
      <c r="A962" s="187">
        <v>713920</v>
      </c>
      <c r="B962" s="187" t="s">
        <v>1242</v>
      </c>
    </row>
    <row r="963" spans="1:2" x14ac:dyDescent="0.25">
      <c r="A963" s="187">
        <v>713930</v>
      </c>
      <c r="B963" s="187" t="s">
        <v>290</v>
      </c>
    </row>
    <row r="964" spans="1:2" x14ac:dyDescent="0.25">
      <c r="A964" s="187">
        <v>713940</v>
      </c>
      <c r="B964" s="187" t="s">
        <v>1243</v>
      </c>
    </row>
    <row r="965" spans="1:2" x14ac:dyDescent="0.25">
      <c r="A965" s="187">
        <v>713950</v>
      </c>
      <c r="B965" s="187" t="s">
        <v>1244</v>
      </c>
    </row>
    <row r="966" spans="1:2" x14ac:dyDescent="0.25">
      <c r="A966" s="187">
        <v>713990</v>
      </c>
      <c r="B966" s="187" t="s">
        <v>1245</v>
      </c>
    </row>
    <row r="967" spans="1:2" x14ac:dyDescent="0.25">
      <c r="A967" s="187">
        <v>721110</v>
      </c>
      <c r="B967" s="187" t="s">
        <v>1246</v>
      </c>
    </row>
    <row r="968" spans="1:2" x14ac:dyDescent="0.25">
      <c r="A968" s="187">
        <v>721120</v>
      </c>
      <c r="B968" s="187" t="s">
        <v>1247</v>
      </c>
    </row>
    <row r="969" spans="1:2" x14ac:dyDescent="0.25">
      <c r="A969" s="187">
        <v>721191</v>
      </c>
      <c r="B969" s="187" t="s">
        <v>1248</v>
      </c>
    </row>
    <row r="970" spans="1:2" x14ac:dyDescent="0.25">
      <c r="A970" s="187">
        <v>721199</v>
      </c>
      <c r="B970" s="187" t="s">
        <v>1249</v>
      </c>
    </row>
    <row r="971" spans="1:2" x14ac:dyDescent="0.25">
      <c r="A971" s="187">
        <v>721211</v>
      </c>
      <c r="B971" s="187" t="s">
        <v>1250</v>
      </c>
    </row>
    <row r="972" spans="1:2" x14ac:dyDescent="0.25">
      <c r="A972" s="187">
        <v>721214</v>
      </c>
      <c r="B972" s="187" t="s">
        <v>1251</v>
      </c>
    </row>
    <row r="973" spans="1:2" x14ac:dyDescent="0.25">
      <c r="A973" s="187">
        <v>721310</v>
      </c>
      <c r="B973" s="187" t="s">
        <v>2385</v>
      </c>
    </row>
    <row r="974" spans="1:2" x14ac:dyDescent="0.25">
      <c r="A974" s="187">
        <v>722310</v>
      </c>
      <c r="B974" s="187" t="s">
        <v>1252</v>
      </c>
    </row>
    <row r="975" spans="1:2" x14ac:dyDescent="0.25">
      <c r="A975" s="187">
        <v>722320</v>
      </c>
      <c r="B975" s="187" t="s">
        <v>291</v>
      </c>
    </row>
    <row r="976" spans="1:2" x14ac:dyDescent="0.25">
      <c r="A976" s="187">
        <v>722330</v>
      </c>
      <c r="B976" s="187" t="s">
        <v>1253</v>
      </c>
    </row>
    <row r="977" spans="1:2" x14ac:dyDescent="0.25">
      <c r="A977" s="187">
        <v>722410</v>
      </c>
      <c r="B977" s="187" t="s">
        <v>1254</v>
      </c>
    </row>
    <row r="978" spans="1:2" x14ac:dyDescent="0.25">
      <c r="A978" s="187">
        <v>722511</v>
      </c>
      <c r="B978" s="187" t="s">
        <v>1255</v>
      </c>
    </row>
    <row r="979" spans="1:2" x14ac:dyDescent="0.25">
      <c r="A979" s="187">
        <v>722513</v>
      </c>
      <c r="B979" s="187" t="s">
        <v>1256</v>
      </c>
    </row>
    <row r="980" spans="1:2" x14ac:dyDescent="0.25">
      <c r="A980" s="187">
        <v>722514</v>
      </c>
      <c r="B980" s="187" t="s">
        <v>1257</v>
      </c>
    </row>
    <row r="981" spans="1:2" x14ac:dyDescent="0.25">
      <c r="A981" s="187">
        <v>722515</v>
      </c>
      <c r="B981" s="187" t="s">
        <v>1258</v>
      </c>
    </row>
    <row r="982" spans="1:2" x14ac:dyDescent="0.25">
      <c r="A982" s="187">
        <v>811111</v>
      </c>
      <c r="B982" s="187" t="s">
        <v>1259</v>
      </c>
    </row>
    <row r="983" spans="1:2" x14ac:dyDescent="0.25">
      <c r="A983" s="187">
        <v>811112</v>
      </c>
      <c r="B983" s="187" t="s">
        <v>1260</v>
      </c>
    </row>
    <row r="984" spans="1:2" x14ac:dyDescent="0.25">
      <c r="A984" s="187">
        <v>811113</v>
      </c>
      <c r="B984" s="187" t="s">
        <v>1261</v>
      </c>
    </row>
    <row r="985" spans="1:2" x14ac:dyDescent="0.25">
      <c r="A985" s="187">
        <v>811118</v>
      </c>
      <c r="B985" s="187" t="s">
        <v>1262</v>
      </c>
    </row>
    <row r="986" spans="1:2" x14ac:dyDescent="0.25">
      <c r="A986" s="187">
        <v>811121</v>
      </c>
      <c r="B986" s="187" t="s">
        <v>1263</v>
      </c>
    </row>
    <row r="987" spans="1:2" x14ac:dyDescent="0.25">
      <c r="A987" s="187">
        <v>811122</v>
      </c>
      <c r="B987" s="187" t="s">
        <v>1264</v>
      </c>
    </row>
    <row r="988" spans="1:2" x14ac:dyDescent="0.25">
      <c r="A988" s="187">
        <v>811191</v>
      </c>
      <c r="B988" s="187" t="s">
        <v>1265</v>
      </c>
    </row>
    <row r="989" spans="1:2" x14ac:dyDescent="0.25">
      <c r="A989" s="187">
        <v>811192</v>
      </c>
      <c r="B989" s="187" t="s">
        <v>1266</v>
      </c>
    </row>
    <row r="990" spans="1:2" x14ac:dyDescent="0.25">
      <c r="A990" s="187">
        <v>811198</v>
      </c>
      <c r="B990" s="187" t="s">
        <v>1267</v>
      </c>
    </row>
    <row r="991" spans="1:2" x14ac:dyDescent="0.25">
      <c r="A991" s="187">
        <v>811211</v>
      </c>
      <c r="B991" s="187" t="s">
        <v>1268</v>
      </c>
    </row>
    <row r="992" spans="1:2" x14ac:dyDescent="0.25">
      <c r="A992" s="187">
        <v>811212</v>
      </c>
      <c r="B992" s="187" t="s">
        <v>1269</v>
      </c>
    </row>
    <row r="993" spans="1:2" x14ac:dyDescent="0.25">
      <c r="A993" s="187">
        <v>811213</v>
      </c>
      <c r="B993" s="187" t="s">
        <v>1270</v>
      </c>
    </row>
    <row r="994" spans="1:2" x14ac:dyDescent="0.25">
      <c r="A994" s="187">
        <v>811219</v>
      </c>
      <c r="B994" s="187" t="s">
        <v>1271</v>
      </c>
    </row>
    <row r="995" spans="1:2" x14ac:dyDescent="0.25">
      <c r="A995" s="187">
        <v>811310</v>
      </c>
      <c r="B995" s="187" t="s">
        <v>1272</v>
      </c>
    </row>
    <row r="996" spans="1:2" x14ac:dyDescent="0.25">
      <c r="A996" s="187">
        <v>811411</v>
      </c>
      <c r="B996" s="187" t="s">
        <v>1273</v>
      </c>
    </row>
    <row r="997" spans="1:2" x14ac:dyDescent="0.25">
      <c r="A997" s="187">
        <v>811412</v>
      </c>
      <c r="B997" s="187" t="s">
        <v>1274</v>
      </c>
    </row>
    <row r="998" spans="1:2" x14ac:dyDescent="0.25">
      <c r="A998" s="187">
        <v>811420</v>
      </c>
      <c r="B998" s="187" t="s">
        <v>1275</v>
      </c>
    </row>
    <row r="999" spans="1:2" x14ac:dyDescent="0.25">
      <c r="A999" s="187">
        <v>811430</v>
      </c>
      <c r="B999" s="187" t="s">
        <v>1276</v>
      </c>
    </row>
    <row r="1000" spans="1:2" x14ac:dyDescent="0.25">
      <c r="A1000" s="187">
        <v>811490</v>
      </c>
      <c r="B1000" s="187" t="s">
        <v>1277</v>
      </c>
    </row>
    <row r="1001" spans="1:2" x14ac:dyDescent="0.25">
      <c r="A1001" s="187">
        <v>812111</v>
      </c>
      <c r="B1001" s="187" t="s">
        <v>1278</v>
      </c>
    </row>
    <row r="1002" spans="1:2" x14ac:dyDescent="0.25">
      <c r="A1002" s="187">
        <v>812112</v>
      </c>
      <c r="B1002" s="187" t="s">
        <v>1279</v>
      </c>
    </row>
    <row r="1003" spans="1:2" x14ac:dyDescent="0.25">
      <c r="A1003" s="187">
        <v>812113</v>
      </c>
      <c r="B1003" s="187" t="s">
        <v>1280</v>
      </c>
    </row>
    <row r="1004" spans="1:2" x14ac:dyDescent="0.25">
      <c r="A1004" s="187">
        <v>812191</v>
      </c>
      <c r="B1004" s="187" t="s">
        <v>1281</v>
      </c>
    </row>
    <row r="1005" spans="1:2" x14ac:dyDescent="0.25">
      <c r="A1005" s="187">
        <v>812199</v>
      </c>
      <c r="B1005" s="187" t="s">
        <v>1282</v>
      </c>
    </row>
    <row r="1006" spans="1:2" x14ac:dyDescent="0.25">
      <c r="A1006" s="187">
        <v>812210</v>
      </c>
      <c r="B1006" s="187" t="s">
        <v>1283</v>
      </c>
    </row>
    <row r="1007" spans="1:2" x14ac:dyDescent="0.25">
      <c r="A1007" s="187">
        <v>812220</v>
      </c>
      <c r="B1007" s="187" t="s">
        <v>1284</v>
      </c>
    </row>
    <row r="1008" spans="1:2" x14ac:dyDescent="0.25">
      <c r="A1008" s="187">
        <v>812310</v>
      </c>
      <c r="B1008" s="187" t="s">
        <v>1285</v>
      </c>
    </row>
    <row r="1009" spans="1:2" x14ac:dyDescent="0.25">
      <c r="A1009" s="187">
        <v>812320</v>
      </c>
      <c r="B1009" s="187" t="s">
        <v>1286</v>
      </c>
    </row>
    <row r="1010" spans="1:2" x14ac:dyDescent="0.25">
      <c r="A1010" s="187">
        <v>812331</v>
      </c>
      <c r="B1010" s="187" t="s">
        <v>1287</v>
      </c>
    </row>
    <row r="1011" spans="1:2" x14ac:dyDescent="0.25">
      <c r="A1011" s="187">
        <v>812332</v>
      </c>
      <c r="B1011" s="187" t="s">
        <v>1288</v>
      </c>
    </row>
    <row r="1012" spans="1:2" x14ac:dyDescent="0.25">
      <c r="A1012" s="187">
        <v>812910</v>
      </c>
      <c r="B1012" s="187" t="s">
        <v>1289</v>
      </c>
    </row>
    <row r="1013" spans="1:2" x14ac:dyDescent="0.25">
      <c r="A1013" s="187">
        <v>812921</v>
      </c>
      <c r="B1013" s="187" t="s">
        <v>1290</v>
      </c>
    </row>
    <row r="1014" spans="1:2" x14ac:dyDescent="0.25">
      <c r="A1014" s="187">
        <v>812922</v>
      </c>
      <c r="B1014" s="187" t="s">
        <v>1291</v>
      </c>
    </row>
    <row r="1015" spans="1:2" x14ac:dyDescent="0.25">
      <c r="A1015" s="187">
        <v>812930</v>
      </c>
      <c r="B1015" s="187" t="s">
        <v>1292</v>
      </c>
    </row>
    <row r="1016" spans="1:2" x14ac:dyDescent="0.25">
      <c r="A1016" s="187">
        <v>812990</v>
      </c>
      <c r="B1016" s="187" t="s">
        <v>1293</v>
      </c>
    </row>
    <row r="1017" spans="1:2" x14ac:dyDescent="0.25">
      <c r="A1017" s="187">
        <v>813110</v>
      </c>
      <c r="B1017" s="187" t="s">
        <v>1294</v>
      </c>
    </row>
    <row r="1018" spans="1:2" x14ac:dyDescent="0.25">
      <c r="A1018" s="187">
        <v>813211</v>
      </c>
      <c r="B1018" s="187" t="s">
        <v>1295</v>
      </c>
    </row>
    <row r="1019" spans="1:2" x14ac:dyDescent="0.25">
      <c r="A1019" s="187">
        <v>813212</v>
      </c>
      <c r="B1019" s="187" t="s">
        <v>1296</v>
      </c>
    </row>
    <row r="1020" spans="1:2" x14ac:dyDescent="0.25">
      <c r="A1020" s="187">
        <v>813219</v>
      </c>
      <c r="B1020" s="187" t="s">
        <v>1297</v>
      </c>
    </row>
    <row r="1021" spans="1:2" x14ac:dyDescent="0.25">
      <c r="A1021" s="187">
        <v>813311</v>
      </c>
      <c r="B1021" s="187" t="s">
        <v>1298</v>
      </c>
    </row>
    <row r="1022" spans="1:2" x14ac:dyDescent="0.25">
      <c r="A1022" s="187">
        <v>813312</v>
      </c>
      <c r="B1022" s="187" t="s">
        <v>1299</v>
      </c>
    </row>
    <row r="1023" spans="1:2" x14ac:dyDescent="0.25">
      <c r="A1023" s="187">
        <v>813319</v>
      </c>
      <c r="B1023" s="187" t="s">
        <v>1300</v>
      </c>
    </row>
    <row r="1024" spans="1:2" x14ac:dyDescent="0.25">
      <c r="A1024" s="187">
        <v>813410</v>
      </c>
      <c r="B1024" s="187" t="s">
        <v>1301</v>
      </c>
    </row>
    <row r="1025" spans="1:2" x14ac:dyDescent="0.25">
      <c r="A1025" s="187">
        <v>813910</v>
      </c>
      <c r="B1025" s="187" t="s">
        <v>1302</v>
      </c>
    </row>
    <row r="1026" spans="1:2" x14ac:dyDescent="0.25">
      <c r="A1026" s="187">
        <v>813920</v>
      </c>
      <c r="B1026" s="187" t="s">
        <v>1303</v>
      </c>
    </row>
    <row r="1027" spans="1:2" x14ac:dyDescent="0.25">
      <c r="A1027" s="187">
        <v>813930</v>
      </c>
      <c r="B1027" s="187" t="s">
        <v>1304</v>
      </c>
    </row>
    <row r="1028" spans="1:2" x14ac:dyDescent="0.25">
      <c r="A1028" s="187">
        <v>813940</v>
      </c>
      <c r="B1028" s="187" t="s">
        <v>1305</v>
      </c>
    </row>
    <row r="1029" spans="1:2" x14ac:dyDescent="0.25">
      <c r="A1029" s="187">
        <v>813990</v>
      </c>
      <c r="B1029" s="187" t="s">
        <v>1306</v>
      </c>
    </row>
    <row r="1030" spans="1:2" x14ac:dyDescent="0.25">
      <c r="A1030" s="187">
        <v>814110</v>
      </c>
      <c r="B1030" s="187" t="s">
        <v>1307</v>
      </c>
    </row>
    <row r="1031" spans="1:2" x14ac:dyDescent="0.25">
      <c r="A1031" s="187">
        <v>921110</v>
      </c>
      <c r="B1031" s="187" t="s">
        <v>1308</v>
      </c>
    </row>
    <row r="1032" spans="1:2" x14ac:dyDescent="0.25">
      <c r="A1032" s="187">
        <v>921120</v>
      </c>
      <c r="B1032" s="187" t="s">
        <v>1309</v>
      </c>
    </row>
    <row r="1033" spans="1:2" x14ac:dyDescent="0.25">
      <c r="A1033" s="187">
        <v>921130</v>
      </c>
      <c r="B1033" s="187" t="s">
        <v>1310</v>
      </c>
    </row>
    <row r="1034" spans="1:2" x14ac:dyDescent="0.25">
      <c r="A1034" s="187">
        <v>921140</v>
      </c>
      <c r="B1034" s="187" t="s">
        <v>1311</v>
      </c>
    </row>
    <row r="1035" spans="1:2" x14ac:dyDescent="0.25">
      <c r="A1035" s="187">
        <v>921150</v>
      </c>
      <c r="B1035" s="187" t="s">
        <v>1312</v>
      </c>
    </row>
    <row r="1036" spans="1:2" x14ac:dyDescent="0.25">
      <c r="A1036" s="187">
        <v>921190</v>
      </c>
      <c r="B1036" s="187" t="s">
        <v>1313</v>
      </c>
    </row>
    <row r="1037" spans="1:2" x14ac:dyDescent="0.25">
      <c r="A1037" s="187">
        <v>922110</v>
      </c>
      <c r="B1037" s="187" t="s">
        <v>1314</v>
      </c>
    </row>
    <row r="1038" spans="1:2" x14ac:dyDescent="0.25">
      <c r="A1038" s="187">
        <v>922120</v>
      </c>
      <c r="B1038" s="187" t="s">
        <v>1315</v>
      </c>
    </row>
    <row r="1039" spans="1:2" x14ac:dyDescent="0.25">
      <c r="A1039" s="187">
        <v>922130</v>
      </c>
      <c r="B1039" s="187" t="s">
        <v>1316</v>
      </c>
    </row>
    <row r="1040" spans="1:2" x14ac:dyDescent="0.25">
      <c r="A1040" s="187">
        <v>922140</v>
      </c>
      <c r="B1040" s="187" t="s">
        <v>1317</v>
      </c>
    </row>
    <row r="1041" spans="1:2" x14ac:dyDescent="0.25">
      <c r="A1041" s="187">
        <v>922150</v>
      </c>
      <c r="B1041" s="187" t="s">
        <v>1318</v>
      </c>
    </row>
    <row r="1042" spans="1:2" x14ac:dyDescent="0.25">
      <c r="A1042" s="187">
        <v>922160</v>
      </c>
      <c r="B1042" s="187" t="s">
        <v>1319</v>
      </c>
    </row>
    <row r="1043" spans="1:2" x14ac:dyDescent="0.25">
      <c r="A1043" s="187">
        <v>922190</v>
      </c>
      <c r="B1043" s="187" t="s">
        <v>1320</v>
      </c>
    </row>
    <row r="1044" spans="1:2" x14ac:dyDescent="0.25">
      <c r="A1044" s="187">
        <v>923110</v>
      </c>
      <c r="B1044" s="187" t="s">
        <v>1321</v>
      </c>
    </row>
    <row r="1045" spans="1:2" x14ac:dyDescent="0.25">
      <c r="A1045" s="187">
        <v>923120</v>
      </c>
      <c r="B1045" s="187" t="s">
        <v>1322</v>
      </c>
    </row>
    <row r="1046" spans="1:2" x14ac:dyDescent="0.25">
      <c r="A1046" s="187">
        <v>923130</v>
      </c>
      <c r="B1046" s="187" t="s">
        <v>1323</v>
      </c>
    </row>
    <row r="1047" spans="1:2" x14ac:dyDescent="0.25">
      <c r="A1047" s="187">
        <v>923140</v>
      </c>
      <c r="B1047" s="187" t="s">
        <v>1324</v>
      </c>
    </row>
    <row r="1048" spans="1:2" x14ac:dyDescent="0.25">
      <c r="A1048" s="187">
        <v>924110</v>
      </c>
      <c r="B1048" s="187" t="s">
        <v>1325</v>
      </c>
    </row>
    <row r="1049" spans="1:2" x14ac:dyDescent="0.25">
      <c r="A1049" s="187">
        <v>924120</v>
      </c>
      <c r="B1049" s="187" t="s">
        <v>1326</v>
      </c>
    </row>
    <row r="1050" spans="1:2" x14ac:dyDescent="0.25">
      <c r="A1050" s="187">
        <v>925110</v>
      </c>
      <c r="B1050" s="187" t="s">
        <v>1327</v>
      </c>
    </row>
    <row r="1051" spans="1:2" x14ac:dyDescent="0.25">
      <c r="A1051" s="187">
        <v>925120</v>
      </c>
      <c r="B1051" s="187" t="s">
        <v>1328</v>
      </c>
    </row>
    <row r="1052" spans="1:2" x14ac:dyDescent="0.25">
      <c r="A1052" s="187">
        <v>926110</v>
      </c>
      <c r="B1052" s="187" t="s">
        <v>1329</v>
      </c>
    </row>
    <row r="1053" spans="1:2" x14ac:dyDescent="0.25">
      <c r="A1053" s="187">
        <v>926120</v>
      </c>
      <c r="B1053" s="187" t="s">
        <v>1330</v>
      </c>
    </row>
    <row r="1054" spans="1:2" x14ac:dyDescent="0.25">
      <c r="A1054" s="187">
        <v>926130</v>
      </c>
      <c r="B1054" s="187" t="s">
        <v>1331</v>
      </c>
    </row>
    <row r="1055" spans="1:2" x14ac:dyDescent="0.25">
      <c r="A1055" s="187">
        <v>926140</v>
      </c>
      <c r="B1055" s="187" t="s">
        <v>1332</v>
      </c>
    </row>
    <row r="1056" spans="1:2" x14ac:dyDescent="0.25">
      <c r="A1056" s="187">
        <v>926150</v>
      </c>
      <c r="B1056" s="187" t="s">
        <v>1333</v>
      </c>
    </row>
    <row r="1057" spans="1:2" x14ac:dyDescent="0.25">
      <c r="A1057" s="187">
        <v>927110</v>
      </c>
      <c r="B1057" s="187" t="s">
        <v>1334</v>
      </c>
    </row>
    <row r="1058" spans="1:2" x14ac:dyDescent="0.25">
      <c r="A1058" s="187">
        <v>928110</v>
      </c>
      <c r="B1058" s="187" t="s">
        <v>1335</v>
      </c>
    </row>
    <row r="1059" spans="1:2" x14ac:dyDescent="0.25">
      <c r="A1059" s="187">
        <v>928120</v>
      </c>
      <c r="B1059" s="187" t="s">
        <v>1336</v>
      </c>
    </row>
    <row r="1060" spans="1:2" x14ac:dyDescent="0.25">
      <c r="A1060" s="187"/>
      <c r="B1060" s="187"/>
    </row>
    <row r="1061" spans="1:2" x14ac:dyDescent="0.25">
      <c r="A1061" s="187"/>
      <c r="B1061" s="187"/>
    </row>
    <row r="1062" spans="1:2" x14ac:dyDescent="0.25">
      <c r="A1062" s="187"/>
      <c r="B1062" s="187"/>
    </row>
    <row r="1063" spans="1:2" x14ac:dyDescent="0.25">
      <c r="A1063" s="187"/>
      <c r="B1063" s="187"/>
    </row>
    <row r="1064" spans="1:2" x14ac:dyDescent="0.25">
      <c r="A1064" s="187"/>
      <c r="B1064" s="187"/>
    </row>
    <row r="1065" spans="1:2" x14ac:dyDescent="0.25">
      <c r="A1065" s="187"/>
      <c r="B1065" s="187"/>
    </row>
    <row r="1066" spans="1:2" x14ac:dyDescent="0.25">
      <c r="A1066" s="187"/>
      <c r="B1066" s="187"/>
    </row>
    <row r="1067" spans="1:2" x14ac:dyDescent="0.25">
      <c r="A1067" s="187"/>
      <c r="B1067" s="187"/>
    </row>
  </sheetData>
  <sheetProtection algorithmName="SHA-512" hashValue="WRnxXm3P9pARMS7t/lBSMn90d+TGzUY5YTinzdYAr9TY/YiAYPgRt5sPnxBaDQvtdnTp8yJae8w4pCoORdC2zA==" saltValue="eyNkZUg/fY/2E+pQiTeDWw==" spinCount="100000" sheet="1" objects="1" scenarios="1"/>
  <pageMargins left="0.7" right="0.7" top="0.75" bottom="0.75" header="0.3" footer="0.3"/>
  <pageSetup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00B050"/>
    <pageSetUpPr fitToPage="1"/>
  </sheetPr>
  <dimension ref="A1:L33"/>
  <sheetViews>
    <sheetView workbookViewId="0">
      <selection sqref="A1:A2"/>
    </sheetView>
  </sheetViews>
  <sheetFormatPr defaultRowHeight="15.95" customHeight="1" x14ac:dyDescent="0.25"/>
  <cols>
    <col min="1" max="1" width="29.7109375" style="212" customWidth="1"/>
    <col min="2" max="2" width="26.5703125" style="188" customWidth="1"/>
    <col min="3" max="12" width="9.7109375" style="188" customWidth="1"/>
    <col min="13" max="16384" width="9.140625" style="188"/>
  </cols>
  <sheetData>
    <row r="1" spans="1:12" ht="22.5" customHeight="1" x14ac:dyDescent="0.25">
      <c r="A1" s="1634" t="s">
        <v>1560</v>
      </c>
      <c r="B1" s="1632" t="s">
        <v>1558</v>
      </c>
      <c r="C1" s="1636" t="s">
        <v>1561</v>
      </c>
      <c r="D1" s="1637"/>
      <c r="E1" s="1637"/>
      <c r="F1" s="1637"/>
      <c r="G1" s="1637"/>
      <c r="H1" s="1637"/>
      <c r="I1" s="1637"/>
      <c r="J1" s="1637"/>
      <c r="K1" s="1637"/>
      <c r="L1" s="1638"/>
    </row>
    <row r="2" spans="1:12" ht="22.5" customHeight="1" thickBot="1" x14ac:dyDescent="0.3">
      <c r="A2" s="1635"/>
      <c r="B2" s="1633"/>
      <c r="C2" s="474" t="s">
        <v>1786</v>
      </c>
      <c r="D2" s="477" t="s">
        <v>1562</v>
      </c>
      <c r="E2" s="189" t="s">
        <v>1563</v>
      </c>
      <c r="F2" s="189" t="s">
        <v>3</v>
      </c>
      <c r="G2" s="189" t="s">
        <v>4</v>
      </c>
      <c r="H2" s="189" t="s">
        <v>0</v>
      </c>
      <c r="I2" s="189" t="s">
        <v>5</v>
      </c>
      <c r="J2" s="189" t="s">
        <v>260</v>
      </c>
      <c r="K2" s="189" t="s">
        <v>236</v>
      </c>
      <c r="L2" s="190" t="s">
        <v>25</v>
      </c>
    </row>
    <row r="3" spans="1:12" ht="15.95" customHeight="1" x14ac:dyDescent="0.25">
      <c r="A3" s="191" t="s">
        <v>1577</v>
      </c>
      <c r="B3" s="192">
        <v>8</v>
      </c>
      <c r="C3" s="193">
        <v>0.5</v>
      </c>
      <c r="D3" s="478">
        <v>0.5</v>
      </c>
      <c r="E3" s="194">
        <v>0.5</v>
      </c>
      <c r="F3" s="195">
        <v>0</v>
      </c>
      <c r="G3" s="195">
        <v>0</v>
      </c>
      <c r="H3" s="195">
        <v>0</v>
      </c>
      <c r="I3" s="195">
        <v>0</v>
      </c>
      <c r="J3" s="195">
        <v>0</v>
      </c>
      <c r="K3" s="195">
        <v>0</v>
      </c>
      <c r="L3" s="196">
        <v>0</v>
      </c>
    </row>
    <row r="4" spans="1:12" ht="15.95" customHeight="1" x14ac:dyDescent="0.25">
      <c r="A4" s="191" t="s">
        <v>1576</v>
      </c>
      <c r="B4" s="192">
        <v>9</v>
      </c>
      <c r="C4" s="193">
        <v>0.5</v>
      </c>
      <c r="D4" s="478">
        <v>0.5</v>
      </c>
      <c r="E4" s="194">
        <v>0.5</v>
      </c>
      <c r="F4" s="195">
        <v>0</v>
      </c>
      <c r="G4" s="195">
        <v>0</v>
      </c>
      <c r="H4" s="195">
        <v>0</v>
      </c>
      <c r="I4" s="195">
        <v>0</v>
      </c>
      <c r="J4" s="195">
        <v>0</v>
      </c>
      <c r="K4" s="195">
        <v>0</v>
      </c>
      <c r="L4" s="196">
        <v>0</v>
      </c>
    </row>
    <row r="5" spans="1:12" ht="15.95" customHeight="1" x14ac:dyDescent="0.25">
      <c r="A5" s="197" t="s">
        <v>1566</v>
      </c>
      <c r="B5" s="198">
        <v>2</v>
      </c>
      <c r="C5" s="199">
        <v>0.6</v>
      </c>
      <c r="D5" s="479">
        <v>0.6</v>
      </c>
      <c r="E5" s="200">
        <v>0.6</v>
      </c>
      <c r="F5" s="201">
        <v>0</v>
      </c>
      <c r="G5" s="201">
        <v>0</v>
      </c>
      <c r="H5" s="201">
        <v>0</v>
      </c>
      <c r="I5" s="201">
        <v>0</v>
      </c>
      <c r="J5" s="201">
        <v>0</v>
      </c>
      <c r="K5" s="200">
        <v>0.4</v>
      </c>
      <c r="L5" s="202">
        <v>0</v>
      </c>
    </row>
    <row r="6" spans="1:12" ht="15.95" customHeight="1" x14ac:dyDescent="0.25">
      <c r="A6" s="197" t="s">
        <v>1564</v>
      </c>
      <c r="B6" s="198">
        <v>1</v>
      </c>
      <c r="C6" s="199">
        <v>0.95</v>
      </c>
      <c r="D6" s="479">
        <v>0.95</v>
      </c>
      <c r="E6" s="200">
        <v>0.95</v>
      </c>
      <c r="F6" s="201">
        <v>0</v>
      </c>
      <c r="G6" s="201">
        <v>0</v>
      </c>
      <c r="H6" s="201">
        <v>0</v>
      </c>
      <c r="I6" s="201">
        <v>0</v>
      </c>
      <c r="J6" s="201">
        <v>0</v>
      </c>
      <c r="K6" s="200">
        <v>0.8</v>
      </c>
      <c r="L6" s="202">
        <v>0</v>
      </c>
    </row>
    <row r="7" spans="1:12" ht="15.95" customHeight="1" x14ac:dyDescent="0.25">
      <c r="A7" s="197" t="s">
        <v>1574</v>
      </c>
      <c r="B7" s="198">
        <v>3</v>
      </c>
      <c r="C7" s="199">
        <v>0.98</v>
      </c>
      <c r="D7" s="479">
        <v>0.98</v>
      </c>
      <c r="E7" s="200">
        <v>0.98</v>
      </c>
      <c r="F7" s="201">
        <v>0</v>
      </c>
      <c r="G7" s="201">
        <v>0</v>
      </c>
      <c r="H7" s="201">
        <v>0</v>
      </c>
      <c r="I7" s="201">
        <v>0</v>
      </c>
      <c r="J7" s="201">
        <v>0</v>
      </c>
      <c r="K7" s="200">
        <v>0.85</v>
      </c>
      <c r="L7" s="202">
        <v>0</v>
      </c>
    </row>
    <row r="8" spans="1:12" ht="15.95" customHeight="1" x14ac:dyDescent="0.25">
      <c r="A8" s="197" t="s">
        <v>1573</v>
      </c>
      <c r="B8" s="198">
        <v>12</v>
      </c>
      <c r="C8" s="203">
        <v>0</v>
      </c>
      <c r="D8" s="480">
        <v>0</v>
      </c>
      <c r="E8" s="201">
        <v>0</v>
      </c>
      <c r="F8" s="201">
        <v>0</v>
      </c>
      <c r="G8" s="201">
        <v>0</v>
      </c>
      <c r="H8" s="200">
        <v>0.9</v>
      </c>
      <c r="I8" s="201">
        <v>0</v>
      </c>
      <c r="J8" s="201">
        <v>0</v>
      </c>
      <c r="K8" s="201">
        <v>0</v>
      </c>
      <c r="L8" s="204">
        <v>0.9</v>
      </c>
    </row>
    <row r="9" spans="1:12" ht="15.95" customHeight="1" x14ac:dyDescent="0.25">
      <c r="A9" s="197" t="s">
        <v>1575</v>
      </c>
      <c r="B9" s="198">
        <v>10</v>
      </c>
      <c r="C9" s="199">
        <v>0.99</v>
      </c>
      <c r="D9" s="479">
        <v>0.99</v>
      </c>
      <c r="E9" s="200">
        <v>0.99</v>
      </c>
      <c r="F9" s="201">
        <v>0</v>
      </c>
      <c r="G9" s="201">
        <v>0</v>
      </c>
      <c r="H9" s="201">
        <v>0</v>
      </c>
      <c r="I9" s="201">
        <v>0</v>
      </c>
      <c r="J9" s="201">
        <v>0</v>
      </c>
      <c r="K9" s="200">
        <v>0.9</v>
      </c>
      <c r="L9" s="202">
        <v>0</v>
      </c>
    </row>
    <row r="10" spans="1:12" ht="15.95" customHeight="1" x14ac:dyDescent="0.25">
      <c r="A10" s="197" t="s">
        <v>1580</v>
      </c>
      <c r="B10" s="198">
        <v>7</v>
      </c>
      <c r="C10" s="199">
        <v>0.5</v>
      </c>
      <c r="D10" s="479">
        <v>0.5</v>
      </c>
      <c r="E10" s="200">
        <v>0.5</v>
      </c>
      <c r="F10" s="201">
        <v>0</v>
      </c>
      <c r="G10" s="201">
        <v>0</v>
      </c>
      <c r="H10" s="201">
        <v>0</v>
      </c>
      <c r="I10" s="201">
        <v>0</v>
      </c>
      <c r="J10" s="201">
        <v>0</v>
      </c>
      <c r="K10" s="201">
        <v>0</v>
      </c>
      <c r="L10" s="202">
        <v>0</v>
      </c>
    </row>
    <row r="11" spans="1:12" ht="15.95" customHeight="1" x14ac:dyDescent="0.25">
      <c r="A11" s="197" t="s">
        <v>1568</v>
      </c>
      <c r="B11" s="198">
        <v>999</v>
      </c>
      <c r="C11" s="203">
        <v>0</v>
      </c>
      <c r="D11" s="480">
        <v>0</v>
      </c>
      <c r="E11" s="201">
        <v>0</v>
      </c>
      <c r="F11" s="201">
        <v>0</v>
      </c>
      <c r="G11" s="201">
        <v>0</v>
      </c>
      <c r="H11" s="201">
        <v>0</v>
      </c>
      <c r="I11" s="201">
        <v>0</v>
      </c>
      <c r="J11" s="201">
        <v>0</v>
      </c>
      <c r="K11" s="201">
        <v>0</v>
      </c>
      <c r="L11" s="202">
        <v>0</v>
      </c>
    </row>
    <row r="12" spans="1:12" ht="15.95" customHeight="1" x14ac:dyDescent="0.25">
      <c r="A12" s="197" t="s">
        <v>1578</v>
      </c>
      <c r="B12" s="198">
        <v>5</v>
      </c>
      <c r="C12" s="199">
        <v>0.9</v>
      </c>
      <c r="D12" s="479">
        <v>0.9</v>
      </c>
      <c r="E12" s="200">
        <v>0.9</v>
      </c>
      <c r="F12" s="201">
        <v>0</v>
      </c>
      <c r="G12" s="201">
        <v>0</v>
      </c>
      <c r="H12" s="201">
        <v>0</v>
      </c>
      <c r="I12" s="201">
        <v>0</v>
      </c>
      <c r="J12" s="201">
        <v>0</v>
      </c>
      <c r="K12" s="201">
        <v>0</v>
      </c>
      <c r="L12" s="202">
        <v>0</v>
      </c>
    </row>
    <row r="13" spans="1:12" ht="15.95" customHeight="1" x14ac:dyDescent="0.25">
      <c r="A13" s="197" t="s">
        <v>1579</v>
      </c>
      <c r="B13" s="198">
        <v>4</v>
      </c>
      <c r="C13" s="199">
        <v>0.4</v>
      </c>
      <c r="D13" s="479">
        <v>0.4</v>
      </c>
      <c r="E13" s="200">
        <v>0.4</v>
      </c>
      <c r="F13" s="201">
        <v>0</v>
      </c>
      <c r="G13" s="201">
        <v>0</v>
      </c>
      <c r="H13" s="201">
        <v>0</v>
      </c>
      <c r="I13" s="201">
        <v>0</v>
      </c>
      <c r="J13" s="201">
        <v>0</v>
      </c>
      <c r="K13" s="201">
        <v>0</v>
      </c>
      <c r="L13" s="202">
        <v>0</v>
      </c>
    </row>
    <row r="14" spans="1:12" ht="15.95" customHeight="1" x14ac:dyDescent="0.25">
      <c r="A14" s="197" t="s">
        <v>1559</v>
      </c>
      <c r="B14" s="198">
        <v>13</v>
      </c>
      <c r="C14" s="203">
        <v>0</v>
      </c>
      <c r="D14" s="480">
        <v>0</v>
      </c>
      <c r="E14" s="201">
        <v>0</v>
      </c>
      <c r="F14" s="200">
        <v>0.65</v>
      </c>
      <c r="G14" s="201">
        <v>0</v>
      </c>
      <c r="H14" s="201">
        <v>0</v>
      </c>
      <c r="I14" s="201">
        <v>0</v>
      </c>
      <c r="J14" s="201">
        <v>0</v>
      </c>
      <c r="K14" s="201">
        <v>0</v>
      </c>
      <c r="L14" s="202">
        <v>0</v>
      </c>
    </row>
    <row r="15" spans="1:12" ht="15.95" customHeight="1" x14ac:dyDescent="0.25">
      <c r="A15" s="197" t="s">
        <v>1565</v>
      </c>
      <c r="B15" s="198">
        <v>11</v>
      </c>
      <c r="C15" s="203">
        <v>0</v>
      </c>
      <c r="D15" s="480">
        <v>0</v>
      </c>
      <c r="E15" s="201">
        <v>0</v>
      </c>
      <c r="F15" s="205">
        <v>0</v>
      </c>
      <c r="G15" s="201">
        <v>0</v>
      </c>
      <c r="H15" s="200">
        <v>0.95</v>
      </c>
      <c r="I15" s="201">
        <v>0</v>
      </c>
      <c r="J15" s="201">
        <v>0</v>
      </c>
      <c r="K15" s="201">
        <v>0</v>
      </c>
      <c r="L15" s="204">
        <v>0.95</v>
      </c>
    </row>
    <row r="16" spans="1:12" ht="15.95" customHeight="1" thickBot="1" x14ac:dyDescent="0.3">
      <c r="A16" s="206" t="s">
        <v>1567</v>
      </c>
      <c r="B16" s="207">
        <v>6</v>
      </c>
      <c r="C16" s="208">
        <v>0.5</v>
      </c>
      <c r="D16" s="481">
        <v>0.5</v>
      </c>
      <c r="E16" s="209">
        <v>0.5</v>
      </c>
      <c r="F16" s="210">
        <v>0</v>
      </c>
      <c r="G16" s="210">
        <v>0</v>
      </c>
      <c r="H16" s="210">
        <v>0</v>
      </c>
      <c r="I16" s="210">
        <v>0</v>
      </c>
      <c r="J16" s="210">
        <v>0</v>
      </c>
      <c r="K16" s="210">
        <v>0</v>
      </c>
      <c r="L16" s="211">
        <v>0</v>
      </c>
    </row>
    <row r="17" spans="1:12" ht="15.95" customHeight="1" thickBot="1" x14ac:dyDescent="0.3"/>
    <row r="18" spans="1:12" ht="22.5" customHeight="1" x14ac:dyDescent="0.25">
      <c r="A18" s="1632" t="s">
        <v>1558</v>
      </c>
      <c r="B18" s="1634" t="s">
        <v>1560</v>
      </c>
      <c r="C18" s="1636" t="s">
        <v>1561</v>
      </c>
      <c r="D18" s="1637"/>
      <c r="E18" s="1637"/>
      <c r="F18" s="1637"/>
      <c r="G18" s="1637"/>
      <c r="H18" s="1637"/>
      <c r="I18" s="1637"/>
      <c r="J18" s="1637"/>
      <c r="K18" s="1637"/>
      <c r="L18" s="1638"/>
    </row>
    <row r="19" spans="1:12" ht="22.5" customHeight="1" thickBot="1" x14ac:dyDescent="0.3">
      <c r="A19" s="1633"/>
      <c r="B19" s="1635"/>
      <c r="C19" s="474" t="s">
        <v>1786</v>
      </c>
      <c r="D19" s="477" t="s">
        <v>1562</v>
      </c>
      <c r="E19" s="189" t="s">
        <v>1563</v>
      </c>
      <c r="F19" s="189" t="s">
        <v>3</v>
      </c>
      <c r="G19" s="189" t="s">
        <v>4</v>
      </c>
      <c r="H19" s="189" t="s">
        <v>0</v>
      </c>
      <c r="I19" s="189" t="s">
        <v>5</v>
      </c>
      <c r="J19" s="189" t="s">
        <v>260</v>
      </c>
      <c r="K19" s="189" t="s">
        <v>236</v>
      </c>
      <c r="L19" s="190" t="s">
        <v>25</v>
      </c>
    </row>
    <row r="20" spans="1:12" ht="15.95" customHeight="1" x14ac:dyDescent="0.25">
      <c r="A20" s="192">
        <v>1</v>
      </c>
      <c r="B20" s="191" t="s">
        <v>1564</v>
      </c>
      <c r="C20" s="478">
        <v>0.95</v>
      </c>
      <c r="D20" s="478">
        <v>0.95</v>
      </c>
      <c r="E20" s="194">
        <v>0.95</v>
      </c>
      <c r="F20" s="195">
        <v>0</v>
      </c>
      <c r="G20" s="195">
        <v>0</v>
      </c>
      <c r="H20" s="195">
        <v>0</v>
      </c>
      <c r="I20" s="195">
        <v>0</v>
      </c>
      <c r="J20" s="195">
        <v>0</v>
      </c>
      <c r="K20" s="194">
        <v>0.8</v>
      </c>
      <c r="L20" s="196">
        <v>0</v>
      </c>
    </row>
    <row r="21" spans="1:12" ht="15.95" customHeight="1" x14ac:dyDescent="0.25">
      <c r="A21" s="192">
        <v>2</v>
      </c>
      <c r="B21" s="191" t="s">
        <v>1566</v>
      </c>
      <c r="C21" s="478">
        <v>0.6</v>
      </c>
      <c r="D21" s="478">
        <v>0.6</v>
      </c>
      <c r="E21" s="194">
        <v>0.6</v>
      </c>
      <c r="F21" s="195">
        <v>0</v>
      </c>
      <c r="G21" s="195">
        <v>0</v>
      </c>
      <c r="H21" s="195">
        <v>0</v>
      </c>
      <c r="I21" s="195">
        <v>0</v>
      </c>
      <c r="J21" s="195">
        <v>0</v>
      </c>
      <c r="K21" s="194">
        <v>0.4</v>
      </c>
      <c r="L21" s="196">
        <v>0</v>
      </c>
    </row>
    <row r="22" spans="1:12" ht="15.95" customHeight="1" x14ac:dyDescent="0.25">
      <c r="A22" s="198">
        <v>3</v>
      </c>
      <c r="B22" s="197" t="s">
        <v>1574</v>
      </c>
      <c r="C22" s="479">
        <v>0.98</v>
      </c>
      <c r="D22" s="479">
        <v>0.98</v>
      </c>
      <c r="E22" s="200">
        <v>0.98</v>
      </c>
      <c r="F22" s="201">
        <v>0</v>
      </c>
      <c r="G22" s="201">
        <v>0</v>
      </c>
      <c r="H22" s="201">
        <v>0</v>
      </c>
      <c r="I22" s="201">
        <v>0</v>
      </c>
      <c r="J22" s="201">
        <v>0</v>
      </c>
      <c r="K22" s="200">
        <v>0.85</v>
      </c>
      <c r="L22" s="202">
        <v>0</v>
      </c>
    </row>
    <row r="23" spans="1:12" ht="15.95" customHeight="1" x14ac:dyDescent="0.25">
      <c r="A23" s="198">
        <v>4</v>
      </c>
      <c r="B23" s="197" t="s">
        <v>1579</v>
      </c>
      <c r="C23" s="479">
        <v>0.4</v>
      </c>
      <c r="D23" s="479">
        <v>0.4</v>
      </c>
      <c r="E23" s="200">
        <v>0.4</v>
      </c>
      <c r="F23" s="201">
        <v>0</v>
      </c>
      <c r="G23" s="201">
        <v>0</v>
      </c>
      <c r="H23" s="201">
        <v>0</v>
      </c>
      <c r="I23" s="201">
        <v>0</v>
      </c>
      <c r="J23" s="201">
        <v>0</v>
      </c>
      <c r="K23" s="201">
        <v>0</v>
      </c>
      <c r="L23" s="202">
        <v>0</v>
      </c>
    </row>
    <row r="24" spans="1:12" ht="15.95" customHeight="1" x14ac:dyDescent="0.25">
      <c r="A24" s="198">
        <v>5</v>
      </c>
      <c r="B24" s="197" t="s">
        <v>1578</v>
      </c>
      <c r="C24" s="479">
        <v>0.9</v>
      </c>
      <c r="D24" s="479">
        <v>0.9</v>
      </c>
      <c r="E24" s="200">
        <v>0.9</v>
      </c>
      <c r="F24" s="201">
        <v>0</v>
      </c>
      <c r="G24" s="201">
        <v>0</v>
      </c>
      <c r="H24" s="201">
        <v>0</v>
      </c>
      <c r="I24" s="201">
        <v>0</v>
      </c>
      <c r="J24" s="201">
        <v>0</v>
      </c>
      <c r="K24" s="201">
        <v>0</v>
      </c>
      <c r="L24" s="202">
        <v>0</v>
      </c>
    </row>
    <row r="25" spans="1:12" ht="15.95" customHeight="1" x14ac:dyDescent="0.25">
      <c r="A25" s="198">
        <v>6</v>
      </c>
      <c r="B25" s="197" t="s">
        <v>1567</v>
      </c>
      <c r="C25" s="479">
        <v>0.5</v>
      </c>
      <c r="D25" s="479">
        <v>0.5</v>
      </c>
      <c r="E25" s="200">
        <v>0.5</v>
      </c>
      <c r="F25" s="201">
        <v>0</v>
      </c>
      <c r="G25" s="201">
        <v>0</v>
      </c>
      <c r="H25" s="201">
        <v>0</v>
      </c>
      <c r="I25" s="201">
        <v>0</v>
      </c>
      <c r="J25" s="201">
        <v>0</v>
      </c>
      <c r="K25" s="201">
        <v>0</v>
      </c>
      <c r="L25" s="202">
        <v>0</v>
      </c>
    </row>
    <row r="26" spans="1:12" ht="15.95" customHeight="1" x14ac:dyDescent="0.25">
      <c r="A26" s="198">
        <v>7</v>
      </c>
      <c r="B26" s="197" t="s">
        <v>1580</v>
      </c>
      <c r="C26" s="479">
        <v>0.5</v>
      </c>
      <c r="D26" s="479">
        <v>0.5</v>
      </c>
      <c r="E26" s="200">
        <v>0.5</v>
      </c>
      <c r="F26" s="201">
        <v>0</v>
      </c>
      <c r="G26" s="201">
        <v>0</v>
      </c>
      <c r="H26" s="201">
        <v>0</v>
      </c>
      <c r="I26" s="201">
        <v>0</v>
      </c>
      <c r="J26" s="201">
        <v>0</v>
      </c>
      <c r="K26" s="201">
        <v>0</v>
      </c>
      <c r="L26" s="202">
        <v>0</v>
      </c>
    </row>
    <row r="27" spans="1:12" ht="15.95" customHeight="1" x14ac:dyDescent="0.25">
      <c r="A27" s="198">
        <v>8</v>
      </c>
      <c r="B27" s="197" t="s">
        <v>1577</v>
      </c>
      <c r="C27" s="479">
        <v>0.5</v>
      </c>
      <c r="D27" s="479">
        <v>0.5</v>
      </c>
      <c r="E27" s="200">
        <v>0.5</v>
      </c>
      <c r="F27" s="201">
        <v>0</v>
      </c>
      <c r="G27" s="201">
        <v>0</v>
      </c>
      <c r="H27" s="201">
        <v>0</v>
      </c>
      <c r="I27" s="201">
        <v>0</v>
      </c>
      <c r="J27" s="201">
        <v>0</v>
      </c>
      <c r="K27" s="201">
        <v>0</v>
      </c>
      <c r="L27" s="202">
        <v>0</v>
      </c>
    </row>
    <row r="28" spans="1:12" ht="15.95" customHeight="1" x14ac:dyDescent="0.25">
      <c r="A28" s="198">
        <v>9</v>
      </c>
      <c r="B28" s="197" t="s">
        <v>1576</v>
      </c>
      <c r="C28" s="479">
        <v>0.5</v>
      </c>
      <c r="D28" s="479">
        <v>0.5</v>
      </c>
      <c r="E28" s="200">
        <v>0.5</v>
      </c>
      <c r="F28" s="201">
        <v>0</v>
      </c>
      <c r="G28" s="201">
        <v>0</v>
      </c>
      <c r="H28" s="201">
        <v>0</v>
      </c>
      <c r="I28" s="201">
        <v>0</v>
      </c>
      <c r="J28" s="201">
        <v>0</v>
      </c>
      <c r="K28" s="201">
        <v>0</v>
      </c>
      <c r="L28" s="202">
        <v>0</v>
      </c>
    </row>
    <row r="29" spans="1:12" ht="15.95" customHeight="1" x14ac:dyDescent="0.25">
      <c r="A29" s="198">
        <v>10</v>
      </c>
      <c r="B29" s="197" t="s">
        <v>1575</v>
      </c>
      <c r="C29" s="479">
        <v>0.99</v>
      </c>
      <c r="D29" s="479">
        <v>0.99</v>
      </c>
      <c r="E29" s="200">
        <v>0.99</v>
      </c>
      <c r="F29" s="201">
        <v>0</v>
      </c>
      <c r="G29" s="201">
        <v>0</v>
      </c>
      <c r="H29" s="201">
        <v>0</v>
      </c>
      <c r="I29" s="201">
        <v>0</v>
      </c>
      <c r="J29" s="201">
        <v>0</v>
      </c>
      <c r="K29" s="200">
        <v>0.9</v>
      </c>
      <c r="L29" s="202">
        <v>0</v>
      </c>
    </row>
    <row r="30" spans="1:12" ht="15.95" customHeight="1" x14ac:dyDescent="0.25">
      <c r="A30" s="198">
        <v>11</v>
      </c>
      <c r="B30" s="197" t="s">
        <v>1565</v>
      </c>
      <c r="C30" s="480">
        <v>0</v>
      </c>
      <c r="D30" s="480">
        <v>0</v>
      </c>
      <c r="E30" s="201">
        <v>0</v>
      </c>
      <c r="F30" s="205">
        <v>0</v>
      </c>
      <c r="G30" s="201">
        <v>0</v>
      </c>
      <c r="H30" s="200">
        <v>0.95</v>
      </c>
      <c r="I30" s="201">
        <v>0</v>
      </c>
      <c r="J30" s="201">
        <v>0</v>
      </c>
      <c r="K30" s="201">
        <v>0</v>
      </c>
      <c r="L30" s="204">
        <v>0.95</v>
      </c>
    </row>
    <row r="31" spans="1:12" ht="15.95" customHeight="1" x14ac:dyDescent="0.25">
      <c r="A31" s="198">
        <v>12</v>
      </c>
      <c r="B31" s="197" t="s">
        <v>1573</v>
      </c>
      <c r="C31" s="480">
        <v>0</v>
      </c>
      <c r="D31" s="480">
        <v>0</v>
      </c>
      <c r="E31" s="201">
        <v>0</v>
      </c>
      <c r="F31" s="201">
        <v>0</v>
      </c>
      <c r="G31" s="201">
        <v>0</v>
      </c>
      <c r="H31" s="200">
        <v>0.9</v>
      </c>
      <c r="I31" s="201">
        <v>0</v>
      </c>
      <c r="J31" s="201">
        <v>0</v>
      </c>
      <c r="K31" s="201">
        <v>0</v>
      </c>
      <c r="L31" s="204">
        <v>0.9</v>
      </c>
    </row>
    <row r="32" spans="1:12" ht="15.95" customHeight="1" x14ac:dyDescent="0.25">
      <c r="A32" s="198">
        <v>13</v>
      </c>
      <c r="B32" s="197" t="s">
        <v>1559</v>
      </c>
      <c r="C32" s="480">
        <v>0</v>
      </c>
      <c r="D32" s="480">
        <v>0</v>
      </c>
      <c r="E32" s="201">
        <v>0</v>
      </c>
      <c r="F32" s="200">
        <v>0.65</v>
      </c>
      <c r="G32" s="201">
        <v>0</v>
      </c>
      <c r="H32" s="201">
        <v>0</v>
      </c>
      <c r="I32" s="201">
        <v>0</v>
      </c>
      <c r="J32" s="201">
        <v>0</v>
      </c>
      <c r="K32" s="201">
        <v>0</v>
      </c>
      <c r="L32" s="202">
        <v>0</v>
      </c>
    </row>
    <row r="33" spans="1:12" ht="15.95" customHeight="1" thickBot="1" x14ac:dyDescent="0.3">
      <c r="A33" s="207">
        <v>999</v>
      </c>
      <c r="B33" s="206" t="s">
        <v>1568</v>
      </c>
      <c r="C33" s="482">
        <v>0</v>
      </c>
      <c r="D33" s="482">
        <v>0</v>
      </c>
      <c r="E33" s="210">
        <v>0</v>
      </c>
      <c r="F33" s="210">
        <v>0</v>
      </c>
      <c r="G33" s="210">
        <v>0</v>
      </c>
      <c r="H33" s="210">
        <v>0</v>
      </c>
      <c r="I33" s="210">
        <v>0</v>
      </c>
      <c r="J33" s="210">
        <v>0</v>
      </c>
      <c r="K33" s="210">
        <v>0</v>
      </c>
      <c r="L33" s="211">
        <v>0</v>
      </c>
    </row>
  </sheetData>
  <sheetProtection password="CCBE" sheet="1" objects="1" scenarios="1"/>
  <sortState xmlns:xlrd2="http://schemas.microsoft.com/office/spreadsheetml/2017/richdata2" ref="A20:K33">
    <sortCondition ref="A20"/>
  </sortState>
  <mergeCells count="6">
    <mergeCell ref="B1:B2"/>
    <mergeCell ref="A1:A2"/>
    <mergeCell ref="B18:B19"/>
    <mergeCell ref="A18:A19"/>
    <mergeCell ref="C1:L1"/>
    <mergeCell ref="C18:L18"/>
  </mergeCells>
  <conditionalFormatting sqref="C3:L16">
    <cfRule type="cellIs" dxfId="1" priority="11" operator="equal">
      <formula>0</formula>
    </cfRule>
  </conditionalFormatting>
  <conditionalFormatting sqref="C20:L33">
    <cfRule type="cellIs" dxfId="0" priority="1" operator="equal">
      <formula>0</formula>
    </cfRule>
  </conditionalFormatting>
  <pageMargins left="0.7" right="0.7" top="0.75" bottom="0.75" header="0.3" footer="0.3"/>
  <pageSetup scale="7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002060"/>
    <pageSetUpPr fitToPage="1"/>
  </sheetPr>
  <dimension ref="A1:Y93"/>
  <sheetViews>
    <sheetView showGridLines="0" zoomScaleNormal="100" workbookViewId="0">
      <selection sqref="A1:G1"/>
    </sheetView>
  </sheetViews>
  <sheetFormatPr defaultRowHeight="20.100000000000001" customHeight="1" x14ac:dyDescent="0.25"/>
  <cols>
    <col min="1" max="7" width="15.7109375" style="48" customWidth="1"/>
    <col min="8" max="8" width="5" style="48" customWidth="1"/>
    <col min="9" max="14" width="11.7109375" style="48" customWidth="1"/>
    <col min="15" max="16384" width="9.140625" style="48"/>
  </cols>
  <sheetData>
    <row r="1" spans="1:25" ht="60" customHeight="1" x14ac:dyDescent="0.25">
      <c r="A1" s="1151"/>
      <c r="B1" s="1151"/>
      <c r="C1" s="1151"/>
      <c r="D1" s="1151"/>
      <c r="E1" s="1151"/>
      <c r="F1" s="1151"/>
      <c r="G1" s="1151"/>
    </row>
    <row r="2" spans="1:25" ht="24.95" customHeight="1" thickBot="1" x14ac:dyDescent="0.3">
      <c r="A2" s="1003" t="s">
        <v>1391</v>
      </c>
      <c r="B2" s="1003"/>
      <c r="C2" s="1003"/>
      <c r="D2" s="1003"/>
      <c r="E2" s="1003"/>
      <c r="F2" s="1003"/>
      <c r="G2" s="1003"/>
    </row>
    <row r="3" spans="1:25" ht="30" customHeight="1" thickBot="1" x14ac:dyDescent="0.3">
      <c r="A3" s="984" t="s">
        <v>1675</v>
      </c>
      <c r="B3" s="985"/>
      <c r="C3" s="985"/>
      <c r="D3" s="985"/>
      <c r="E3" s="985"/>
      <c r="F3" s="985"/>
      <c r="G3" s="986"/>
    </row>
    <row r="4" spans="1:25" ht="30" customHeight="1" x14ac:dyDescent="0.25">
      <c r="A4" s="1099" t="s">
        <v>1393</v>
      </c>
      <c r="B4" s="1100"/>
      <c r="C4" s="176" t="s">
        <v>1708</v>
      </c>
      <c r="D4" s="177" t="s">
        <v>1709</v>
      </c>
      <c r="E4" s="1135" t="str">
        <f>IF(AND(N4=TRUE,O4=TRUE),"Too many boxes checked.",IF(N4=TRUE,"If seasonal, check the appropriate months during which the source operates, below:",""))</f>
        <v/>
      </c>
      <c r="F4" s="1136"/>
      <c r="G4" s="1137"/>
      <c r="N4" s="81" t="b">
        <v>0</v>
      </c>
      <c r="O4" s="81" t="b">
        <v>0</v>
      </c>
    </row>
    <row r="5" spans="1:25" ht="18.95" customHeight="1" x14ac:dyDescent="0.25">
      <c r="A5" s="250"/>
      <c r="B5" s="251" t="str">
        <f>IF(AND($N$4=FALSE,$O$4=TRUE),"","       January")</f>
        <v xml:space="preserve">       January</v>
      </c>
      <c r="C5" s="251" t="str">
        <f>IF(AND($N$4=FALSE,$O$4=TRUE),"","       March")</f>
        <v xml:space="preserve">       March</v>
      </c>
      <c r="D5" s="251" t="str">
        <f>IF(AND($N$4=FALSE,$O$4=TRUE),"","       May")</f>
        <v xml:space="preserve">       May</v>
      </c>
      <c r="E5" s="251" t="str">
        <f>IF(AND($N$4=FALSE,$O$4=TRUE),"","       July")</f>
        <v xml:space="preserve">       July</v>
      </c>
      <c r="F5" s="251" t="str">
        <f>IF(AND($N$4=FALSE,$O$4=TRUE),"","       September")</f>
        <v xml:space="preserve">       September</v>
      </c>
      <c r="G5" s="252" t="str">
        <f>IF(AND($N$4=FALSE,$O$4=TRUE),"","       November")</f>
        <v xml:space="preserve">       November</v>
      </c>
      <c r="N5" s="81" t="b">
        <v>0</v>
      </c>
      <c r="O5" s="81" t="b">
        <v>0</v>
      </c>
      <c r="P5" s="81" t="b">
        <v>0</v>
      </c>
      <c r="Q5" s="81" t="b">
        <v>0</v>
      </c>
      <c r="R5" s="81" t="b">
        <v>0</v>
      </c>
      <c r="S5" s="81" t="b">
        <v>0</v>
      </c>
      <c r="T5" s="81" t="b">
        <v>0</v>
      </c>
      <c r="U5" s="81" t="b">
        <v>0</v>
      </c>
      <c r="V5" s="81" t="b">
        <v>0</v>
      </c>
      <c r="W5" s="81" t="b">
        <v>0</v>
      </c>
      <c r="X5" s="81" t="b">
        <v>0</v>
      </c>
      <c r="Y5" s="81" t="b">
        <v>0</v>
      </c>
    </row>
    <row r="6" spans="1:25" ht="18.95" customHeight="1" x14ac:dyDescent="0.25">
      <c r="A6" s="253"/>
      <c r="B6" s="254" t="str">
        <f>IF(AND($N$4=FALSE,$O$4=TRUE),"","       February")</f>
        <v xml:space="preserve">       February</v>
      </c>
      <c r="C6" s="254" t="str">
        <f>IF(AND($N$4=FALSE,$O$4=TRUE),"","       April")</f>
        <v xml:space="preserve">       April</v>
      </c>
      <c r="D6" s="254" t="str">
        <f>IF(AND($N$4=FALSE,$O$4=TRUE),"","       June")</f>
        <v xml:space="preserve">       June</v>
      </c>
      <c r="E6" s="254" t="str">
        <f>IF(AND($N$4=FALSE,$O$4=TRUE),"","       August")</f>
        <v xml:space="preserve">       August</v>
      </c>
      <c r="F6" s="254" t="str">
        <f>IF(AND($N$4=FALSE,$O$4=TRUE),"","       October")</f>
        <v xml:space="preserve">       October</v>
      </c>
      <c r="G6" s="255" t="str">
        <f>IF(AND($N$4=FALSE,$O$4=TRUE),"","       December")</f>
        <v xml:space="preserve">       December</v>
      </c>
    </row>
    <row r="7" spans="1:25" ht="20.100000000000001" customHeight="1" x14ac:dyDescent="0.25">
      <c r="A7" s="1101" t="s">
        <v>1394</v>
      </c>
      <c r="B7" s="1102"/>
      <c r="C7" s="1140" t="s">
        <v>1395</v>
      </c>
      <c r="D7" s="1140"/>
      <c r="E7" s="1140"/>
      <c r="F7" s="1145"/>
      <c r="G7" s="1146"/>
      <c r="N7" s="48" t="b">
        <f>IF(OR(N5:Y5),TRUE,FALSE)</f>
        <v>0</v>
      </c>
    </row>
    <row r="8" spans="1:25" ht="20.100000000000001" customHeight="1" x14ac:dyDescent="0.25">
      <c r="A8" s="1103"/>
      <c r="B8" s="1104"/>
      <c r="C8" s="1139" t="s">
        <v>1396</v>
      </c>
      <c r="D8" s="1139"/>
      <c r="E8" s="1139"/>
      <c r="F8" s="1143"/>
      <c r="G8" s="1144"/>
      <c r="N8" s="48" t="b">
        <f>IF(AND(NOT(ISBLANK(F7)),NOT(ISBLANK(F8)),NOT(ISBLANK(F9)),N7=TRUE),TRUE,FALSE)</f>
        <v>0</v>
      </c>
    </row>
    <row r="9" spans="1:25" ht="20.100000000000001" customHeight="1" x14ac:dyDescent="0.25">
      <c r="A9" s="1105"/>
      <c r="B9" s="1106"/>
      <c r="C9" s="1138" t="s">
        <v>1397</v>
      </c>
      <c r="D9" s="1138"/>
      <c r="E9" s="1138"/>
      <c r="F9" s="1141"/>
      <c r="G9" s="1142"/>
    </row>
    <row r="10" spans="1:25" ht="15" customHeight="1" x14ac:dyDescent="0.25">
      <c r="A10" s="1050" t="s">
        <v>1398</v>
      </c>
      <c r="B10" s="1117"/>
      <c r="C10" s="1117"/>
      <c r="D10" s="256" t="s">
        <v>1757</v>
      </c>
      <c r="E10" s="1147" t="str">
        <f>IF(AND(N10=TRUE,O10=TRUE),"Too many boxes checked.",IF(AND($N$10=FALSE,$O$10=TRUE),"","If Yes, provide the following requested information."))</f>
        <v>If Yes, provide the following requested information.</v>
      </c>
      <c r="F10" s="1147"/>
      <c r="G10" s="1148"/>
      <c r="N10" s="81" t="b">
        <v>0</v>
      </c>
      <c r="O10" s="81" t="b">
        <v>0</v>
      </c>
    </row>
    <row r="11" spans="1:25" ht="15" customHeight="1" x14ac:dyDescent="0.25">
      <c r="A11" s="1051"/>
      <c r="B11" s="1118"/>
      <c r="C11" s="1118"/>
      <c r="D11" s="240" t="s">
        <v>1756</v>
      </c>
      <c r="E11" s="1149"/>
      <c r="F11" s="1149"/>
      <c r="G11" s="1150"/>
    </row>
    <row r="12" spans="1:25" ht="60" customHeight="1" x14ac:dyDescent="0.25">
      <c r="A12" s="1109" t="str">
        <f>IF(AND($N$10=FALSE,$O$10=TRUE),"","Describe the reason or circumstances under which the source utilizes the alternative schedule:")</f>
        <v>Describe the reason or circumstances under which the source utilizes the alternative schedule:</v>
      </c>
      <c r="B12" s="1110"/>
      <c r="C12" s="1154"/>
      <c r="D12" s="1154"/>
      <c r="E12" s="1154"/>
      <c r="F12" s="1154"/>
      <c r="G12" s="1155"/>
      <c r="N12" s="80"/>
      <c r="O12" s="80"/>
    </row>
    <row r="13" spans="1:25" ht="20.100000000000001" customHeight="1" x14ac:dyDescent="0.25">
      <c r="A13" s="1103" t="str">
        <f>IF(AND($N$10=FALSE,$O$10=TRUE),"","Provide the alternative operating schedule:")</f>
        <v>Provide the alternative operating schedule:</v>
      </c>
      <c r="B13" s="1104"/>
      <c r="C13" s="1140" t="str">
        <f>IF(AND($N$10=FALSE,$O$10=TRUE),"","Hours per Day:")</f>
        <v>Hours per Day:</v>
      </c>
      <c r="D13" s="1140"/>
      <c r="E13" s="1140"/>
      <c r="F13" s="1156"/>
      <c r="G13" s="1157"/>
      <c r="N13" s="80"/>
      <c r="O13" s="80"/>
    </row>
    <row r="14" spans="1:25" ht="20.100000000000001" customHeight="1" x14ac:dyDescent="0.25">
      <c r="A14" s="1103"/>
      <c r="B14" s="1104"/>
      <c r="C14" s="1139" t="str">
        <f>IF(AND($N$10=FALSE,$O$10=TRUE),"","Days per Week:")</f>
        <v>Days per Week:</v>
      </c>
      <c r="D14" s="1139"/>
      <c r="E14" s="1139"/>
      <c r="F14" s="1158"/>
      <c r="G14" s="1159"/>
      <c r="N14" s="80"/>
      <c r="O14" s="80"/>
    </row>
    <row r="15" spans="1:25" ht="20.100000000000001" customHeight="1" thickBot="1" x14ac:dyDescent="0.3">
      <c r="A15" s="1107"/>
      <c r="B15" s="1108"/>
      <c r="C15" s="1138" t="str">
        <f>IF(AND($N$10=FALSE,$O$10=TRUE),"","Weeks per Year:")</f>
        <v>Weeks per Year:</v>
      </c>
      <c r="D15" s="1138"/>
      <c r="E15" s="1138"/>
      <c r="F15" s="1152"/>
      <c r="G15" s="1153"/>
      <c r="N15" s="80"/>
      <c r="O15" s="80"/>
    </row>
    <row r="16" spans="1:25" ht="30" customHeight="1" thickBot="1" x14ac:dyDescent="0.3">
      <c r="A16" s="984" t="s">
        <v>1775</v>
      </c>
      <c r="B16" s="985"/>
      <c r="C16" s="985"/>
      <c r="D16" s="985"/>
      <c r="E16" s="985"/>
      <c r="F16" s="985"/>
      <c r="G16" s="986"/>
      <c r="N16" s="80"/>
      <c r="O16" s="80"/>
    </row>
    <row r="17" spans="1:25" ht="60" customHeight="1" x14ac:dyDescent="0.25">
      <c r="A17" s="1096" t="s">
        <v>1776</v>
      </c>
      <c r="B17" s="1097"/>
      <c r="C17" s="1097"/>
      <c r="D17" s="1097"/>
      <c r="E17" s="1097"/>
      <c r="F17" s="1097"/>
      <c r="G17" s="1098"/>
      <c r="N17" s="80" t="b">
        <f>IF(AND(O4=TRUE,NOT(ISBLANK(F7)),NOT(ISBLANK(F8)),NOT(ISBLANK(F9)),O10=TRUE),TRUE,IF(AND(O4=TRUE,NOT(ISBLANK(F7)),NOT(ISBLANK(F8)),NOT(ISBLANK(F9)),AND(N10=TRUE,NOT(ISBLANK(C12)),NOT(ISBLANK(F13)),NOT(ISBLANK(F14)),NOT(ISBLANK(F15)))),TRUE,IF(AND(N4=TRUE,N7=TRUE,NOT(ISBLANK(F7)),NOT(ISBLANK(F8)),NOT(ISBLANK(F9)),O10=TRUE),TRUE,IF(AND(N4=TRUE,N7=TRUE,NOT(ISBLANK(F7)),NOT(ISBLANK(F8)),NOT(ISBLANK(F9)),AND(N10=TRUE,NOT(ISBLANK(C12)),NOT(ISBLANK(F13)),NOT(ISBLANK(F14)),NOT(ISBLANK(F15)))),TRUE,FALSE))))</f>
        <v>0</v>
      </c>
      <c r="O17" s="80" t="s">
        <v>1716</v>
      </c>
    </row>
    <row r="18" spans="1:25" ht="15" customHeight="1" x14ac:dyDescent="0.25">
      <c r="A18" s="1082" t="s">
        <v>1781</v>
      </c>
      <c r="B18" s="1083"/>
      <c r="C18" s="1083"/>
      <c r="D18" s="1083"/>
      <c r="E18" s="257" t="s">
        <v>1757</v>
      </c>
      <c r="F18" s="1079" t="str">
        <f>IF(AND(N18=TRUE,O18=TRUE),"Too many boxes checked.",IF(O18=TRUE,"If no, explain why on a separate sheet of paper.",""))</f>
        <v/>
      </c>
      <c r="G18" s="1080"/>
      <c r="N18" s="81" t="b">
        <v>0</v>
      </c>
      <c r="O18" s="81" t="b">
        <v>0</v>
      </c>
      <c r="Q18" s="48" t="b">
        <f>IF(OR(AND(N18=TRUE,O18=FALSE),AND(N18=FALSE,O18=TRUE)),TRUE,FALSE)</f>
        <v>0</v>
      </c>
    </row>
    <row r="19" spans="1:25" ht="15" customHeight="1" thickBot="1" x14ac:dyDescent="0.3">
      <c r="A19" s="1084"/>
      <c r="B19" s="1085"/>
      <c r="C19" s="1085"/>
      <c r="D19" s="1085"/>
      <c r="E19" s="239" t="s">
        <v>1756</v>
      </c>
      <c r="F19" s="1010"/>
      <c r="G19" s="1081"/>
    </row>
    <row r="20" spans="1:25" ht="30" customHeight="1" thickBot="1" x14ac:dyDescent="0.3">
      <c r="A20" s="984" t="s">
        <v>1777</v>
      </c>
      <c r="B20" s="985"/>
      <c r="C20" s="985"/>
      <c r="D20" s="985"/>
      <c r="E20" s="985"/>
      <c r="F20" s="985"/>
      <c r="G20" s="986"/>
      <c r="N20" s="80"/>
      <c r="O20" s="80"/>
    </row>
    <row r="21" spans="1:25" ht="84.95" customHeight="1" x14ac:dyDescent="0.25">
      <c r="A21" s="1096" t="s">
        <v>1778</v>
      </c>
      <c r="B21" s="1097"/>
      <c r="C21" s="1097"/>
      <c r="D21" s="1097"/>
      <c r="E21" s="1097"/>
      <c r="F21" s="1097"/>
      <c r="G21" s="1098"/>
      <c r="N21" s="80"/>
      <c r="O21" s="80"/>
    </row>
    <row r="22" spans="1:25" ht="15" customHeight="1" x14ac:dyDescent="0.25">
      <c r="A22" s="1090" t="s">
        <v>1782</v>
      </c>
      <c r="B22" s="1091"/>
      <c r="C22" s="1091"/>
      <c r="D22" s="1092"/>
      <c r="E22" s="257" t="s">
        <v>1757</v>
      </c>
      <c r="F22" s="1086" t="str">
        <f>IF(AND(N22=TRUE,O22=TRUE),"Too many boxes checked.",IF(O22=TRUE,"If no, explain why on a separate sheet of paper.",""))</f>
        <v/>
      </c>
      <c r="G22" s="1087"/>
      <c r="N22" s="81" t="b">
        <v>0</v>
      </c>
      <c r="O22" s="81" t="b">
        <v>0</v>
      </c>
      <c r="Q22" s="48" t="b">
        <f>IF(OR(AND(N22=TRUE,O22=FALSE),AND(N22=FALSE,O22=TRUE)),TRUE,FALSE)</f>
        <v>0</v>
      </c>
    </row>
    <row r="23" spans="1:25" ht="15" customHeight="1" thickBot="1" x14ac:dyDescent="0.3">
      <c r="A23" s="1093"/>
      <c r="B23" s="1094"/>
      <c r="C23" s="1094"/>
      <c r="D23" s="1095"/>
      <c r="E23" s="239" t="s">
        <v>1756</v>
      </c>
      <c r="F23" s="1088"/>
      <c r="G23" s="1089"/>
    </row>
    <row r="24" spans="1:25" ht="30" customHeight="1" thickBot="1" x14ac:dyDescent="0.3">
      <c r="A24" s="984" t="s">
        <v>1779</v>
      </c>
      <c r="B24" s="985"/>
      <c r="C24" s="985"/>
      <c r="D24" s="985"/>
      <c r="E24" s="985"/>
      <c r="F24" s="985"/>
      <c r="G24" s="986"/>
      <c r="N24" s="80"/>
      <c r="O24" s="80"/>
    </row>
    <row r="25" spans="1:25" ht="60" customHeight="1" x14ac:dyDescent="0.25">
      <c r="A25" s="1096" t="s">
        <v>1780</v>
      </c>
      <c r="B25" s="1097"/>
      <c r="C25" s="1097"/>
      <c r="D25" s="1097"/>
      <c r="E25" s="1097"/>
      <c r="F25" s="1097"/>
      <c r="G25" s="1098"/>
      <c r="N25" s="80"/>
      <c r="O25" s="80"/>
    </row>
    <row r="26" spans="1:25" ht="15" customHeight="1" x14ac:dyDescent="0.25">
      <c r="A26" s="1090" t="s">
        <v>1783</v>
      </c>
      <c r="B26" s="1091"/>
      <c r="C26" s="1091"/>
      <c r="D26" s="1092"/>
      <c r="E26" s="257" t="s">
        <v>1757</v>
      </c>
      <c r="F26" s="1086" t="str">
        <f>IF(AND(N26=TRUE,O26=TRUE),"Too many boxes checked.",IF(O26=TRUE,"If no, explain why on a separate sheet of paper.",""))</f>
        <v/>
      </c>
      <c r="G26" s="1087"/>
      <c r="N26" s="81" t="b">
        <v>0</v>
      </c>
      <c r="O26" s="81" t="b">
        <v>0</v>
      </c>
      <c r="Q26" s="48" t="b">
        <f>IF(OR(AND(N26=TRUE,O26=FALSE),AND(N26=FALSE,O26=TRUE)),TRUE,FALSE)</f>
        <v>0</v>
      </c>
    </row>
    <row r="27" spans="1:25" ht="15" customHeight="1" thickBot="1" x14ac:dyDescent="0.3">
      <c r="A27" s="1093"/>
      <c r="B27" s="1094"/>
      <c r="C27" s="1094"/>
      <c r="D27" s="1095"/>
      <c r="E27" s="239" t="s">
        <v>1756</v>
      </c>
      <c r="F27" s="1088"/>
      <c r="G27" s="1089"/>
    </row>
    <row r="28" spans="1:25" ht="30" customHeight="1" thickBot="1" x14ac:dyDescent="0.3">
      <c r="A28" s="984" t="s">
        <v>1706</v>
      </c>
      <c r="B28" s="985"/>
      <c r="C28" s="985"/>
      <c r="D28" s="985"/>
      <c r="E28" s="985"/>
      <c r="F28" s="985"/>
      <c r="G28" s="986"/>
      <c r="N28" s="48" t="b">
        <f>IF(AND(N17=TRUE,Q18=TRUE,Q22=TRUE,Q26=TRUE),TRUE,FALSE)</f>
        <v>0</v>
      </c>
      <c r="O28" s="80" t="s">
        <v>1717</v>
      </c>
    </row>
    <row r="29" spans="1:25" ht="20.100000000000001" customHeight="1" x14ac:dyDescent="0.25">
      <c r="A29" s="1099" t="s">
        <v>1711</v>
      </c>
      <c r="B29" s="1131"/>
      <c r="C29" s="1131"/>
      <c r="D29" s="1131"/>
      <c r="E29" s="1131"/>
      <c r="F29" s="1131"/>
      <c r="G29" s="1132"/>
      <c r="N29" s="81"/>
      <c r="O29" s="81"/>
    </row>
    <row r="30" spans="1:25" ht="20.100000000000001" customHeight="1" x14ac:dyDescent="0.25">
      <c r="A30" s="1113" t="s">
        <v>1707</v>
      </c>
      <c r="B30" s="1133"/>
      <c r="C30" s="1133"/>
      <c r="D30" s="1133"/>
      <c r="E30" s="1133"/>
      <c r="F30" s="1133"/>
      <c r="G30" s="1134"/>
      <c r="N30" s="81" t="b">
        <v>0</v>
      </c>
      <c r="O30" s="81"/>
      <c r="P30" s="81"/>
      <c r="Q30" s="81"/>
      <c r="R30" s="81"/>
      <c r="S30" s="81"/>
      <c r="T30" s="81"/>
      <c r="U30" s="81"/>
      <c r="V30" s="81"/>
      <c r="W30" s="81"/>
      <c r="X30" s="81"/>
      <c r="Y30" s="81"/>
    </row>
    <row r="31" spans="1:25" ht="20.100000000000001" customHeight="1" x14ac:dyDescent="0.25">
      <c r="A31" s="1115" t="s">
        <v>1873</v>
      </c>
      <c r="B31" s="1119"/>
      <c r="C31" s="1119"/>
      <c r="D31" s="1119"/>
      <c r="E31" s="1119"/>
      <c r="F31" s="1119"/>
      <c r="G31" s="1120"/>
      <c r="N31" s="82" t="b">
        <v>0</v>
      </c>
    </row>
    <row r="32" spans="1:25" ht="20.100000000000001" customHeight="1" x14ac:dyDescent="0.25">
      <c r="A32" s="1115" t="s">
        <v>1874</v>
      </c>
      <c r="B32" s="1119"/>
      <c r="C32" s="1119"/>
      <c r="D32" s="1119"/>
      <c r="E32" s="1119"/>
      <c r="F32" s="1119"/>
      <c r="G32" s="1120"/>
      <c r="N32" s="82" t="b">
        <v>0</v>
      </c>
    </row>
    <row r="33" spans="1:25" ht="20.100000000000001" customHeight="1" x14ac:dyDescent="0.25">
      <c r="A33" s="1115" t="s">
        <v>1875</v>
      </c>
      <c r="B33" s="1116"/>
      <c r="C33" s="1121"/>
      <c r="D33" s="1122"/>
      <c r="E33" s="1122"/>
      <c r="F33" s="1122"/>
      <c r="G33" s="1123"/>
      <c r="N33" s="82" t="b">
        <v>0</v>
      </c>
    </row>
    <row r="34" spans="1:25" ht="20.100000000000001" customHeight="1" x14ac:dyDescent="0.25">
      <c r="A34" s="1113" t="s">
        <v>1875</v>
      </c>
      <c r="B34" s="1114"/>
      <c r="C34" s="1121"/>
      <c r="D34" s="1122"/>
      <c r="E34" s="1122"/>
      <c r="F34" s="1122"/>
      <c r="G34" s="1123"/>
      <c r="N34" s="81" t="b">
        <v>0</v>
      </c>
      <c r="O34" s="81"/>
    </row>
    <row r="35" spans="1:25" ht="20.100000000000001" customHeight="1" thickBot="1" x14ac:dyDescent="0.3">
      <c r="A35" s="1111" t="s">
        <v>1875</v>
      </c>
      <c r="B35" s="1112"/>
      <c r="C35" s="1124"/>
      <c r="D35" s="1125"/>
      <c r="E35" s="1125"/>
      <c r="F35" s="1125"/>
      <c r="G35" s="1126"/>
      <c r="N35" s="81" t="b">
        <v>0</v>
      </c>
      <c r="O35" s="80"/>
      <c r="P35" s="82" t="b">
        <f>IF(OR(N30:N35),TRUE,FALSE)</f>
        <v>0</v>
      </c>
    </row>
    <row r="36" spans="1:25" ht="50.1" customHeight="1" thickBot="1" x14ac:dyDescent="0.3">
      <c r="A36" s="1127" t="s">
        <v>1872</v>
      </c>
      <c r="B36" s="1128"/>
      <c r="C36" s="1129"/>
      <c r="D36" s="1129"/>
      <c r="E36" s="1129"/>
      <c r="F36" s="1129"/>
      <c r="G36" s="1130"/>
      <c r="N36" s="80"/>
      <c r="O36" s="80"/>
    </row>
    <row r="37" spans="1:25" ht="20.100000000000001" customHeight="1" x14ac:dyDescent="0.25">
      <c r="A37" s="1099" t="s">
        <v>1710</v>
      </c>
      <c r="B37" s="1131"/>
      <c r="C37" s="1131"/>
      <c r="D37" s="1131"/>
      <c r="E37" s="1131"/>
      <c r="F37" s="1131"/>
      <c r="G37" s="1132"/>
      <c r="N37" s="81"/>
      <c r="O37" s="81"/>
    </row>
    <row r="38" spans="1:25" ht="20.100000000000001" customHeight="1" x14ac:dyDescent="0.25">
      <c r="A38" s="1113" t="s">
        <v>1714</v>
      </c>
      <c r="B38" s="1133"/>
      <c r="C38" s="1133"/>
      <c r="D38" s="1133"/>
      <c r="E38" s="1133"/>
      <c r="F38" s="1133"/>
      <c r="G38" s="1134"/>
      <c r="N38" s="81" t="b">
        <v>0</v>
      </c>
      <c r="O38" s="81"/>
      <c r="P38" s="81"/>
      <c r="Q38" s="81"/>
      <c r="R38" s="81"/>
      <c r="S38" s="81"/>
      <c r="T38" s="81"/>
      <c r="U38" s="81"/>
      <c r="V38" s="81"/>
      <c r="W38" s="81"/>
      <c r="X38" s="81"/>
      <c r="Y38" s="81"/>
    </row>
    <row r="39" spans="1:25" ht="20.100000000000001" customHeight="1" x14ac:dyDescent="0.25">
      <c r="A39" s="1115" t="s">
        <v>1713</v>
      </c>
      <c r="B39" s="1119"/>
      <c r="C39" s="1119"/>
      <c r="D39" s="1119"/>
      <c r="E39" s="1119"/>
      <c r="F39" s="1119"/>
      <c r="G39" s="1120"/>
      <c r="N39" s="82" t="b">
        <v>0</v>
      </c>
    </row>
    <row r="40" spans="1:25" ht="20.100000000000001" customHeight="1" x14ac:dyDescent="0.25">
      <c r="A40" s="1115" t="s">
        <v>1715</v>
      </c>
      <c r="B40" s="1119"/>
      <c r="C40" s="1119"/>
      <c r="D40" s="1119"/>
      <c r="E40" s="1119"/>
      <c r="F40" s="1119"/>
      <c r="G40" s="1120"/>
      <c r="N40" s="82" t="b">
        <v>0</v>
      </c>
    </row>
    <row r="41" spans="1:25" ht="20.100000000000001" customHeight="1" x14ac:dyDescent="0.25">
      <c r="A41" s="1115" t="s">
        <v>1712</v>
      </c>
      <c r="B41" s="1116"/>
      <c r="C41" s="1121"/>
      <c r="D41" s="1122"/>
      <c r="E41" s="1122"/>
      <c r="F41" s="1122"/>
      <c r="G41" s="1123"/>
      <c r="N41" s="82" t="b">
        <v>0</v>
      </c>
    </row>
    <row r="42" spans="1:25" ht="20.100000000000001" customHeight="1" x14ac:dyDescent="0.25">
      <c r="A42" s="1113" t="s">
        <v>1712</v>
      </c>
      <c r="B42" s="1114"/>
      <c r="C42" s="1121"/>
      <c r="D42" s="1122"/>
      <c r="E42" s="1122"/>
      <c r="F42" s="1122"/>
      <c r="G42" s="1123"/>
      <c r="N42" s="81" t="b">
        <v>0</v>
      </c>
      <c r="O42" s="81"/>
    </row>
    <row r="43" spans="1:25" ht="20.100000000000001" customHeight="1" thickBot="1" x14ac:dyDescent="0.3">
      <c r="A43" s="1111" t="s">
        <v>1712</v>
      </c>
      <c r="B43" s="1112"/>
      <c r="C43" s="1124"/>
      <c r="D43" s="1125"/>
      <c r="E43" s="1125"/>
      <c r="F43" s="1125"/>
      <c r="G43" s="1126"/>
      <c r="N43" s="81" t="b">
        <v>0</v>
      </c>
      <c r="O43" s="80"/>
      <c r="P43" s="82" t="b">
        <f>IF(OR(N38:N43),TRUE,FALSE)</f>
        <v>0</v>
      </c>
    </row>
    <row r="44" spans="1:25" ht="20.100000000000001" customHeight="1" x14ac:dyDescent="0.25">
      <c r="A44" s="839"/>
      <c r="B44" s="840"/>
      <c r="C44" s="840"/>
      <c r="D44" s="840"/>
      <c r="E44" s="840"/>
      <c r="F44" s="840"/>
      <c r="G44" s="841" t="str">
        <f>"Ver."&amp;" "&amp;TEXT(Introduction!$M$3,"MM/YYYY")</f>
        <v>Ver. 01/2025</v>
      </c>
    </row>
    <row r="45" spans="1:25" ht="20.100000000000001" customHeight="1" x14ac:dyDescent="0.25">
      <c r="A45" s="50"/>
    </row>
    <row r="46" spans="1:25" ht="20.100000000000001" customHeight="1" x14ac:dyDescent="0.25">
      <c r="A46" s="50"/>
    </row>
    <row r="47" spans="1:25" ht="20.100000000000001" customHeight="1" x14ac:dyDescent="0.25">
      <c r="A47" s="50"/>
    </row>
    <row r="48" spans="1:25" ht="20.100000000000001" customHeight="1" x14ac:dyDescent="0.25">
      <c r="A48" s="50"/>
    </row>
    <row r="49" spans="1:7" ht="20.100000000000001" customHeight="1" x14ac:dyDescent="0.25">
      <c r="A49" s="50"/>
    </row>
    <row r="50" spans="1:7" ht="20.100000000000001" customHeight="1" x14ac:dyDescent="0.25">
      <c r="A50" s="50"/>
    </row>
    <row r="51" spans="1:7" ht="20.100000000000001" customHeight="1" x14ac:dyDescent="0.25">
      <c r="A51" s="50"/>
    </row>
    <row r="52" spans="1:7" ht="20.100000000000001" customHeight="1" x14ac:dyDescent="0.25">
      <c r="A52" s="50"/>
    </row>
    <row r="53" spans="1:7" ht="20.100000000000001" customHeight="1" x14ac:dyDescent="0.25">
      <c r="A53" s="50"/>
    </row>
    <row r="54" spans="1:7" ht="20.100000000000001" customHeight="1" x14ac:dyDescent="0.25">
      <c r="A54" s="50"/>
    </row>
    <row r="55" spans="1:7" ht="20.100000000000001" customHeight="1" x14ac:dyDescent="0.25">
      <c r="A55" s="50"/>
    </row>
    <row r="56" spans="1:7" ht="20.100000000000001" customHeight="1" x14ac:dyDescent="0.25">
      <c r="A56" s="50"/>
    </row>
    <row r="57" spans="1:7" ht="20.100000000000001" customHeight="1" x14ac:dyDescent="0.25">
      <c r="A57" s="50"/>
    </row>
    <row r="58" spans="1:7" ht="20.100000000000001" customHeight="1" x14ac:dyDescent="0.25">
      <c r="A58" s="50"/>
      <c r="G58" s="175"/>
    </row>
    <row r="59" spans="1:7" ht="20.100000000000001" customHeight="1" x14ac:dyDescent="0.25">
      <c r="A59" s="50"/>
      <c r="G59" s="175"/>
    </row>
    <row r="60" spans="1:7" ht="20.100000000000001" customHeight="1" x14ac:dyDescent="0.25">
      <c r="A60" s="50"/>
      <c r="G60" s="175"/>
    </row>
    <row r="61" spans="1:7" ht="20.100000000000001" customHeight="1" x14ac:dyDescent="0.25">
      <c r="A61" s="50"/>
      <c r="G61" s="175"/>
    </row>
    <row r="62" spans="1:7" ht="20.100000000000001" customHeight="1" x14ac:dyDescent="0.25">
      <c r="A62" s="50"/>
      <c r="G62" s="175"/>
    </row>
    <row r="63" spans="1:7" ht="20.100000000000001" customHeight="1" x14ac:dyDescent="0.25">
      <c r="A63" s="50"/>
    </row>
    <row r="64" spans="1:7"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row r="92" spans="1:1" ht="20.100000000000001" customHeight="1" x14ac:dyDescent="0.25">
      <c r="A92" s="50"/>
    </row>
    <row r="93" spans="1:1" ht="20.100000000000001" customHeight="1" x14ac:dyDescent="0.25">
      <c r="A93" s="50"/>
    </row>
  </sheetData>
  <sheetProtection algorithmName="SHA-512" hashValue="T8DjvRxNIR7ETnZbn3rLLypkmWS/RakTJnSIZSuNdLs162b+bFGpsB2n2s81whLthwcl8Nw3PsEI2YkelDiusQ==" saltValue="jT+QxG+hStNZCWnfoQjU8Q==" spinCount="100000" sheet="1" objects="1" scenarios="1"/>
  <mergeCells count="57">
    <mergeCell ref="E10:G11"/>
    <mergeCell ref="A1:G1"/>
    <mergeCell ref="A20:G20"/>
    <mergeCell ref="A21:G21"/>
    <mergeCell ref="A24:G24"/>
    <mergeCell ref="C15:E15"/>
    <mergeCell ref="F15:G15"/>
    <mergeCell ref="A16:G16"/>
    <mergeCell ref="A17:G17"/>
    <mergeCell ref="C12:G12"/>
    <mergeCell ref="C13:E13"/>
    <mergeCell ref="F13:G13"/>
    <mergeCell ref="C14:E14"/>
    <mergeCell ref="F14:G14"/>
    <mergeCell ref="A2:G2"/>
    <mergeCell ref="A3:G3"/>
    <mergeCell ref="E4:G4"/>
    <mergeCell ref="C9:E9"/>
    <mergeCell ref="C8:E8"/>
    <mergeCell ref="C7:E7"/>
    <mergeCell ref="F9:G9"/>
    <mergeCell ref="F8:G8"/>
    <mergeCell ref="F7:G7"/>
    <mergeCell ref="A31:G31"/>
    <mergeCell ref="C34:G34"/>
    <mergeCell ref="C35:G35"/>
    <mergeCell ref="A28:G28"/>
    <mergeCell ref="A30:G30"/>
    <mergeCell ref="A29:G29"/>
    <mergeCell ref="A37:G37"/>
    <mergeCell ref="A38:G38"/>
    <mergeCell ref="A39:G39"/>
    <mergeCell ref="C33:G33"/>
    <mergeCell ref="A32:G32"/>
    <mergeCell ref="A4:B4"/>
    <mergeCell ref="A7:B9"/>
    <mergeCell ref="A13:B15"/>
    <mergeCell ref="A12:B12"/>
    <mergeCell ref="A43:B43"/>
    <mergeCell ref="A42:B42"/>
    <mergeCell ref="A41:B41"/>
    <mergeCell ref="A35:B35"/>
    <mergeCell ref="A34:B34"/>
    <mergeCell ref="A33:B33"/>
    <mergeCell ref="A10:C11"/>
    <mergeCell ref="A40:G40"/>
    <mergeCell ref="C41:G41"/>
    <mergeCell ref="C42:G42"/>
    <mergeCell ref="C43:G43"/>
    <mergeCell ref="A36:G36"/>
    <mergeCell ref="F18:G19"/>
    <mergeCell ref="A18:D19"/>
    <mergeCell ref="F22:G23"/>
    <mergeCell ref="A22:D23"/>
    <mergeCell ref="F26:G27"/>
    <mergeCell ref="A26:D27"/>
    <mergeCell ref="A25:G25"/>
  </mergeCells>
  <conditionalFormatting sqref="A12:A15 C12:G15">
    <cfRule type="expression" dxfId="263" priority="1">
      <formula>AND($N$10=FALSE,$O$10=TRUE)</formula>
    </cfRule>
  </conditionalFormatting>
  <conditionalFormatting sqref="A5:G6">
    <cfRule type="expression" dxfId="262" priority="42">
      <formula>AND($N$4=FALSE,$O$4=TRUE)</formula>
    </cfRule>
    <cfRule type="expression" dxfId="261" priority="45">
      <formula>AND($N$4=TRUE,$N$7=FALSE)</formula>
    </cfRule>
  </conditionalFormatting>
  <conditionalFormatting sqref="C4:D4">
    <cfRule type="expression" dxfId="260" priority="46">
      <formula>OR(AND($N$4=FALSE,$O$4=FALSE),AND($N$4=TRUE,$O$4=TRUE))</formula>
    </cfRule>
  </conditionalFormatting>
  <conditionalFormatting sqref="C12:G12">
    <cfRule type="expression" dxfId="259" priority="43">
      <formula>AND($N$8=TRUE,$N$10=TRUE,$O$10=FALSE,ISBLANK($C$12))</formula>
    </cfRule>
  </conditionalFormatting>
  <conditionalFormatting sqref="C22:G22 A22">
    <cfRule type="expression" dxfId="258" priority="27">
      <formula>AND($N18=TRUE,$O18=TRUE)</formula>
    </cfRule>
  </conditionalFormatting>
  <conditionalFormatting sqref="C26:G26 A26">
    <cfRule type="expression" dxfId="257" priority="25">
      <formula>OR(AND($N18=TRUE,$O18=TRUE),AND($N22=TRUE,$O22=TRUE))</formula>
    </cfRule>
  </conditionalFormatting>
  <conditionalFormatting sqref="C30:G32 A30:A35">
    <cfRule type="expression" dxfId="256" priority="5">
      <formula>AND($N$28=TRUE,$P$35=FALSE)</formula>
    </cfRule>
  </conditionalFormatting>
  <conditionalFormatting sqref="C33:G35">
    <cfRule type="expression" dxfId="255" priority="4">
      <formula>AND($N$28=TRUE,$P$35=TRUE,N33=TRUE,ISBLANK(C33))</formula>
    </cfRule>
  </conditionalFormatting>
  <conditionalFormatting sqref="C38:G40 A38:A43">
    <cfRule type="expression" dxfId="254" priority="3">
      <formula>AND($N$28=TRUE,$P$35=TRUE,$P$43=FALSE)</formula>
    </cfRule>
  </conditionalFormatting>
  <conditionalFormatting sqref="C41:G43">
    <cfRule type="expression" dxfId="253" priority="2">
      <formula>AND($N$28=TRUE,$P$35=TRUE,N41=TRUE,ISBLANK(C41))</formula>
    </cfRule>
  </conditionalFormatting>
  <conditionalFormatting sqref="D10:D11">
    <cfRule type="expression" dxfId="252" priority="34">
      <formula>AND($N$10=FALSE,$O$10=FALSE,NOT(ISBLANK($F$7)),NOT(ISBLANK($F$8)),NOT(ISBLANK($F$9)))</formula>
    </cfRule>
  </conditionalFormatting>
  <conditionalFormatting sqref="E18:E19">
    <cfRule type="expression" dxfId="251" priority="30">
      <formula>AND($N$17=TRUE,$N$18=FALSE,$O$18=FALSE)</formula>
    </cfRule>
  </conditionalFormatting>
  <conditionalFormatting sqref="E22:E23">
    <cfRule type="expression" dxfId="250" priority="28">
      <formula>AND($N$17=TRUE,OR($N$18=TRUE,$O$18=TRUE),$N$22=FALSE,$O$22=FALSE)</formula>
    </cfRule>
  </conditionalFormatting>
  <conditionalFormatting sqref="E26:E27">
    <cfRule type="expression" dxfId="249" priority="26">
      <formula>AND($N$17=TRUE,OR($N$18=TRUE,$O$18=TRUE),OR($N$22=TRUE,$O$22=TRUE),$N$26=FALSE,$O$26=FALSE)</formula>
    </cfRule>
  </conditionalFormatting>
  <conditionalFormatting sqref="E4:G4">
    <cfRule type="expression" dxfId="248" priority="29">
      <formula>AND($N$4=TRUE,$O$4=TRUE)</formula>
    </cfRule>
  </conditionalFormatting>
  <conditionalFormatting sqref="E10:G10">
    <cfRule type="expression" dxfId="247" priority="44">
      <formula>AND($N$10=TRUE,$O$10=TRUE)</formula>
    </cfRule>
  </conditionalFormatting>
  <conditionalFormatting sqref="F7:G7">
    <cfRule type="expression" dxfId="246" priority="40">
      <formula>AND($N$4=TRUE,$N$7=TRUE,ISBLANK($F$7))</formula>
    </cfRule>
    <cfRule type="expression" dxfId="245" priority="41">
      <formula>AND($O$4=TRUE,$N$4=FALSE,ISBLANK($F$7))</formula>
    </cfRule>
  </conditionalFormatting>
  <conditionalFormatting sqref="F8:G8">
    <cfRule type="expression" dxfId="244" priority="38">
      <formula>AND($O$4=TRUE,$N$4=FALSE,NOT(ISBLANK($F$7)),ISBLANK($F$8))</formula>
    </cfRule>
    <cfRule type="expression" dxfId="243" priority="39">
      <formula>AND($N$4=TRUE,$N$7=TRUE,NOT(ISBLANK($F$7)),ISBLANK($F$8))</formula>
    </cfRule>
  </conditionalFormatting>
  <conditionalFormatting sqref="F9:G9">
    <cfRule type="expression" dxfId="242" priority="36">
      <formula>AND($N$4=TRUE,$N$7=TRUE,NOT(ISBLANK($F$7)),NOT(ISBLANK($F$8)),ISBLANK($F$9))</formula>
    </cfRule>
    <cfRule type="expression" dxfId="241" priority="37">
      <formula>AND($O$4=TRUE,$N$4=FALSE,NOT(ISBLANK($F$7)),NOT(ISBLANK($F$8)),ISBLANK($F$9))</formula>
    </cfRule>
  </conditionalFormatting>
  <conditionalFormatting sqref="F13:G13">
    <cfRule type="expression" dxfId="240" priority="33">
      <formula>AND(N8=TRUE,N10=TRUE,NOT(ISBLANK(C12)),ISBLANK(F13))</formula>
    </cfRule>
  </conditionalFormatting>
  <conditionalFormatting sqref="F14:G14">
    <cfRule type="expression" dxfId="239" priority="32">
      <formula>AND(N8=TRUE,N10=TRUE,NOT(ISBLANK(C12)),NOT(ISBLANK(F13)),ISBLANK(F14))</formula>
    </cfRule>
  </conditionalFormatting>
  <conditionalFormatting sqref="F15:G15">
    <cfRule type="expression" dxfId="238" priority="31">
      <formula>AND(N8=TRUE,N10=TRUE,NOT(ISBLANK(C12)),NOT(ISBLANK(F13)),NOT(ISBLANK(F14)),ISBLANK(F15))</formula>
    </cfRule>
  </conditionalFormatting>
  <conditionalFormatting sqref="F18:G18">
    <cfRule type="expression" dxfId="237" priority="24">
      <formula>AND($N18=TRUE,$O18=TRUE)</formula>
    </cfRule>
  </conditionalFormatting>
  <conditionalFormatting sqref="F22:G22">
    <cfRule type="expression" dxfId="236" priority="23">
      <formula>AND($N22=TRUE,$O22=TRUE)</formula>
    </cfRule>
  </conditionalFormatting>
  <conditionalFormatting sqref="F26:G26">
    <cfRule type="expression" dxfId="235" priority="22">
      <formula>AND($N26=TRUE,$O26=TRUE)</formula>
    </cfRule>
  </conditionalFormatting>
  <printOptions horizontalCentered="1"/>
  <pageMargins left="0.5" right="0.5" top="0.5" bottom="0.5" header="0.3" footer="0.3"/>
  <pageSetup scale="86" fitToHeight="0" orientation="portrait" r:id="rId1"/>
  <headerFooter>
    <oddFooter>&amp;L&amp;A&amp;RPage &amp;P</oddFooter>
  </headerFooter>
  <rowBreaks count="1" manualBreakCount="1">
    <brk id="27"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19050</xdr:colOff>
                    <xdr:row>3</xdr:row>
                    <xdr:rowOff>95250</xdr:rowOff>
                  </from>
                  <to>
                    <xdr:col>2</xdr:col>
                    <xdr:colOff>247650</xdr:colOff>
                    <xdr:row>3</xdr:row>
                    <xdr:rowOff>314325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xdr:col>
                    <xdr:colOff>28575</xdr:colOff>
                    <xdr:row>3</xdr:row>
                    <xdr:rowOff>104775</xdr:rowOff>
                  </from>
                  <to>
                    <xdr:col>3</xdr:col>
                    <xdr:colOff>238125</xdr:colOff>
                    <xdr:row>3</xdr:row>
                    <xdr:rowOff>314325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9525</xdr:colOff>
                    <xdr:row>4</xdr:row>
                    <xdr:rowOff>9525</xdr:rowOff>
                  </from>
                  <to>
                    <xdr:col>1</xdr:col>
                    <xdr:colOff>800100</xdr:colOff>
                    <xdr:row>5</xdr:row>
                    <xdr:rowOff>0</xdr:rowOff>
                  </to>
                </anchor>
              </controlPr>
            </control>
          </mc:Choice>
        </mc:AlternateContent>
        <mc:AlternateContent xmlns:mc="http://schemas.openxmlformats.org/markup-compatibility/2006">
          <mc:Choice Requires="x14">
            <control shapeId="15371" r:id="rId7" name="Check Box 11">
              <controlPr defaultSize="0" autoFill="0" autoLine="0" autoPict="0">
                <anchor moveWithCells="1">
                  <from>
                    <xdr:col>1</xdr:col>
                    <xdr:colOff>9525</xdr:colOff>
                    <xdr:row>5</xdr:row>
                    <xdr:rowOff>9525</xdr:rowOff>
                  </from>
                  <to>
                    <xdr:col>1</xdr:col>
                    <xdr:colOff>800100</xdr:colOff>
                    <xdr:row>6</xdr:row>
                    <xdr:rowOff>0</xdr:rowOff>
                  </to>
                </anchor>
              </controlPr>
            </control>
          </mc:Choice>
        </mc:AlternateContent>
        <mc:AlternateContent xmlns:mc="http://schemas.openxmlformats.org/markup-compatibility/2006">
          <mc:Choice Requires="x14">
            <control shapeId="15382" r:id="rId8" name="Check Box 22">
              <controlPr defaultSize="0" autoFill="0" autoLine="0" autoPict="0">
                <anchor moveWithCells="1">
                  <from>
                    <xdr:col>2</xdr:col>
                    <xdr:colOff>9525</xdr:colOff>
                    <xdr:row>4</xdr:row>
                    <xdr:rowOff>9525</xdr:rowOff>
                  </from>
                  <to>
                    <xdr:col>2</xdr:col>
                    <xdr:colOff>952500</xdr:colOff>
                    <xdr:row>5</xdr:row>
                    <xdr:rowOff>0</xdr:rowOff>
                  </to>
                </anchor>
              </controlPr>
            </control>
          </mc:Choice>
        </mc:AlternateContent>
        <mc:AlternateContent xmlns:mc="http://schemas.openxmlformats.org/markup-compatibility/2006">
          <mc:Choice Requires="x14">
            <control shapeId="15383" r:id="rId9" name="Check Box 23">
              <controlPr defaultSize="0" autoFill="0" autoLine="0" autoPict="0">
                <anchor moveWithCells="1">
                  <from>
                    <xdr:col>2</xdr:col>
                    <xdr:colOff>9525</xdr:colOff>
                    <xdr:row>5</xdr:row>
                    <xdr:rowOff>9525</xdr:rowOff>
                  </from>
                  <to>
                    <xdr:col>2</xdr:col>
                    <xdr:colOff>952500</xdr:colOff>
                    <xdr:row>6</xdr:row>
                    <xdr:rowOff>0</xdr:rowOff>
                  </to>
                </anchor>
              </controlPr>
            </control>
          </mc:Choice>
        </mc:AlternateContent>
        <mc:AlternateContent xmlns:mc="http://schemas.openxmlformats.org/markup-compatibility/2006">
          <mc:Choice Requires="x14">
            <control shapeId="15384" r:id="rId10" name="Check Box 24">
              <controlPr defaultSize="0" autoFill="0" autoLine="0" autoPict="0">
                <anchor moveWithCells="1">
                  <from>
                    <xdr:col>3</xdr:col>
                    <xdr:colOff>9525</xdr:colOff>
                    <xdr:row>4</xdr:row>
                    <xdr:rowOff>9525</xdr:rowOff>
                  </from>
                  <to>
                    <xdr:col>3</xdr:col>
                    <xdr:colOff>885825</xdr:colOff>
                    <xdr:row>5</xdr:row>
                    <xdr:rowOff>0</xdr:rowOff>
                  </to>
                </anchor>
              </controlPr>
            </control>
          </mc:Choice>
        </mc:AlternateContent>
        <mc:AlternateContent xmlns:mc="http://schemas.openxmlformats.org/markup-compatibility/2006">
          <mc:Choice Requires="x14">
            <control shapeId="15385" r:id="rId11" name="Check Box 25">
              <controlPr defaultSize="0" autoFill="0" autoLine="0" autoPict="0">
                <anchor moveWithCells="1">
                  <from>
                    <xdr:col>3</xdr:col>
                    <xdr:colOff>9525</xdr:colOff>
                    <xdr:row>5</xdr:row>
                    <xdr:rowOff>9525</xdr:rowOff>
                  </from>
                  <to>
                    <xdr:col>3</xdr:col>
                    <xdr:colOff>885825</xdr:colOff>
                    <xdr:row>6</xdr:row>
                    <xdr:rowOff>0</xdr:rowOff>
                  </to>
                </anchor>
              </controlPr>
            </control>
          </mc:Choice>
        </mc:AlternateContent>
        <mc:AlternateContent xmlns:mc="http://schemas.openxmlformats.org/markup-compatibility/2006">
          <mc:Choice Requires="x14">
            <control shapeId="15386" r:id="rId12" name="Check Box 26">
              <controlPr defaultSize="0" autoFill="0" autoLine="0" autoPict="0">
                <anchor moveWithCells="1">
                  <from>
                    <xdr:col>4</xdr:col>
                    <xdr:colOff>9525</xdr:colOff>
                    <xdr:row>4</xdr:row>
                    <xdr:rowOff>9525</xdr:rowOff>
                  </from>
                  <to>
                    <xdr:col>4</xdr:col>
                    <xdr:colOff>885825</xdr:colOff>
                    <xdr:row>5</xdr:row>
                    <xdr:rowOff>0</xdr:rowOff>
                  </to>
                </anchor>
              </controlPr>
            </control>
          </mc:Choice>
        </mc:AlternateContent>
        <mc:AlternateContent xmlns:mc="http://schemas.openxmlformats.org/markup-compatibility/2006">
          <mc:Choice Requires="x14">
            <control shapeId="15387" r:id="rId13" name="Check Box 27">
              <controlPr defaultSize="0" autoFill="0" autoLine="0" autoPict="0">
                <anchor moveWithCells="1">
                  <from>
                    <xdr:col>4</xdr:col>
                    <xdr:colOff>9525</xdr:colOff>
                    <xdr:row>5</xdr:row>
                    <xdr:rowOff>9525</xdr:rowOff>
                  </from>
                  <to>
                    <xdr:col>4</xdr:col>
                    <xdr:colOff>885825</xdr:colOff>
                    <xdr:row>6</xdr:row>
                    <xdr:rowOff>0</xdr:rowOff>
                  </to>
                </anchor>
              </controlPr>
            </control>
          </mc:Choice>
        </mc:AlternateContent>
        <mc:AlternateContent xmlns:mc="http://schemas.openxmlformats.org/markup-compatibility/2006">
          <mc:Choice Requires="x14">
            <control shapeId="15388" r:id="rId14" name="Check Box 28">
              <controlPr defaultSize="0" autoFill="0" autoLine="0" autoPict="0">
                <anchor moveWithCells="1">
                  <from>
                    <xdr:col>5</xdr:col>
                    <xdr:colOff>19050</xdr:colOff>
                    <xdr:row>4</xdr:row>
                    <xdr:rowOff>9525</xdr:rowOff>
                  </from>
                  <to>
                    <xdr:col>5</xdr:col>
                    <xdr:colOff>895350</xdr:colOff>
                    <xdr:row>5</xdr:row>
                    <xdr:rowOff>0</xdr:rowOff>
                  </to>
                </anchor>
              </controlPr>
            </control>
          </mc:Choice>
        </mc:AlternateContent>
        <mc:AlternateContent xmlns:mc="http://schemas.openxmlformats.org/markup-compatibility/2006">
          <mc:Choice Requires="x14">
            <control shapeId="15389" r:id="rId15" name="Check Box 29">
              <controlPr defaultSize="0" autoFill="0" autoLine="0" autoPict="0">
                <anchor moveWithCells="1">
                  <from>
                    <xdr:col>5</xdr:col>
                    <xdr:colOff>19050</xdr:colOff>
                    <xdr:row>5</xdr:row>
                    <xdr:rowOff>9525</xdr:rowOff>
                  </from>
                  <to>
                    <xdr:col>5</xdr:col>
                    <xdr:colOff>895350</xdr:colOff>
                    <xdr:row>6</xdr:row>
                    <xdr:rowOff>0</xdr:rowOff>
                  </to>
                </anchor>
              </controlPr>
            </control>
          </mc:Choice>
        </mc:AlternateContent>
        <mc:AlternateContent xmlns:mc="http://schemas.openxmlformats.org/markup-compatibility/2006">
          <mc:Choice Requires="x14">
            <control shapeId="15390" r:id="rId16" name="Check Box 30">
              <controlPr defaultSize="0" autoFill="0" autoLine="0" autoPict="0">
                <anchor moveWithCells="1">
                  <from>
                    <xdr:col>6</xdr:col>
                    <xdr:colOff>9525</xdr:colOff>
                    <xdr:row>4</xdr:row>
                    <xdr:rowOff>9525</xdr:rowOff>
                  </from>
                  <to>
                    <xdr:col>6</xdr:col>
                    <xdr:colOff>885825</xdr:colOff>
                    <xdr:row>5</xdr:row>
                    <xdr:rowOff>0</xdr:rowOff>
                  </to>
                </anchor>
              </controlPr>
            </control>
          </mc:Choice>
        </mc:AlternateContent>
        <mc:AlternateContent xmlns:mc="http://schemas.openxmlformats.org/markup-compatibility/2006">
          <mc:Choice Requires="x14">
            <control shapeId="15391" r:id="rId17" name="Check Box 31">
              <controlPr defaultSize="0" autoFill="0" autoLine="0" autoPict="0">
                <anchor moveWithCells="1">
                  <from>
                    <xdr:col>6</xdr:col>
                    <xdr:colOff>9525</xdr:colOff>
                    <xdr:row>5</xdr:row>
                    <xdr:rowOff>9525</xdr:rowOff>
                  </from>
                  <to>
                    <xdr:col>6</xdr:col>
                    <xdr:colOff>885825</xdr:colOff>
                    <xdr:row>6</xdr:row>
                    <xdr:rowOff>0</xdr:rowOff>
                  </to>
                </anchor>
              </controlPr>
            </control>
          </mc:Choice>
        </mc:AlternateContent>
        <mc:AlternateContent xmlns:mc="http://schemas.openxmlformats.org/markup-compatibility/2006">
          <mc:Choice Requires="x14">
            <control shapeId="15392" r:id="rId18" name="Check Box 32">
              <controlPr defaultSize="0" autoFill="0" autoLine="0" autoPict="0">
                <anchor moveWithCells="1">
                  <from>
                    <xdr:col>3</xdr:col>
                    <xdr:colOff>9525</xdr:colOff>
                    <xdr:row>9</xdr:row>
                    <xdr:rowOff>9525</xdr:rowOff>
                  </from>
                  <to>
                    <xdr:col>3</xdr:col>
                    <xdr:colOff>790575</xdr:colOff>
                    <xdr:row>10</xdr:row>
                    <xdr:rowOff>19050</xdr:rowOff>
                  </to>
                </anchor>
              </controlPr>
            </control>
          </mc:Choice>
        </mc:AlternateContent>
        <mc:AlternateContent xmlns:mc="http://schemas.openxmlformats.org/markup-compatibility/2006">
          <mc:Choice Requires="x14">
            <control shapeId="15393" r:id="rId19" name="Check Box 33">
              <controlPr defaultSize="0" autoFill="0" autoLine="0" autoPict="0">
                <anchor moveWithCells="1">
                  <from>
                    <xdr:col>3</xdr:col>
                    <xdr:colOff>9525</xdr:colOff>
                    <xdr:row>9</xdr:row>
                    <xdr:rowOff>180975</xdr:rowOff>
                  </from>
                  <to>
                    <xdr:col>3</xdr:col>
                    <xdr:colOff>790575</xdr:colOff>
                    <xdr:row>11</xdr:row>
                    <xdr:rowOff>0</xdr:rowOff>
                  </to>
                </anchor>
              </controlPr>
            </control>
          </mc:Choice>
        </mc:AlternateContent>
        <mc:AlternateContent xmlns:mc="http://schemas.openxmlformats.org/markup-compatibility/2006">
          <mc:Choice Requires="x14">
            <control shapeId="15404" r:id="rId20" name="Check Box 44">
              <controlPr defaultSize="0" autoFill="0" autoLine="0" autoPict="0">
                <anchor moveWithCells="1">
                  <from>
                    <xdr:col>0</xdr:col>
                    <xdr:colOff>47625</xdr:colOff>
                    <xdr:row>29</xdr:row>
                    <xdr:rowOff>0</xdr:rowOff>
                  </from>
                  <to>
                    <xdr:col>0</xdr:col>
                    <xdr:colOff>257175</xdr:colOff>
                    <xdr:row>29</xdr:row>
                    <xdr:rowOff>238125</xdr:rowOff>
                  </to>
                </anchor>
              </controlPr>
            </control>
          </mc:Choice>
        </mc:AlternateContent>
        <mc:AlternateContent xmlns:mc="http://schemas.openxmlformats.org/markup-compatibility/2006">
          <mc:Choice Requires="x14">
            <control shapeId="15420" r:id="rId21" name="Check Box 60">
              <controlPr defaultSize="0" autoFill="0" autoLine="0" autoPict="0">
                <anchor moveWithCells="1">
                  <from>
                    <xdr:col>0</xdr:col>
                    <xdr:colOff>47625</xdr:colOff>
                    <xdr:row>30</xdr:row>
                    <xdr:rowOff>0</xdr:rowOff>
                  </from>
                  <to>
                    <xdr:col>0</xdr:col>
                    <xdr:colOff>257175</xdr:colOff>
                    <xdr:row>30</xdr:row>
                    <xdr:rowOff>238125</xdr:rowOff>
                  </to>
                </anchor>
              </controlPr>
            </control>
          </mc:Choice>
        </mc:AlternateContent>
        <mc:AlternateContent xmlns:mc="http://schemas.openxmlformats.org/markup-compatibility/2006">
          <mc:Choice Requires="x14">
            <control shapeId="15421" r:id="rId22" name="Check Box 61">
              <controlPr defaultSize="0" autoFill="0" autoLine="0" autoPict="0">
                <anchor moveWithCells="1">
                  <from>
                    <xdr:col>0</xdr:col>
                    <xdr:colOff>47625</xdr:colOff>
                    <xdr:row>31</xdr:row>
                    <xdr:rowOff>0</xdr:rowOff>
                  </from>
                  <to>
                    <xdr:col>0</xdr:col>
                    <xdr:colOff>257175</xdr:colOff>
                    <xdr:row>31</xdr:row>
                    <xdr:rowOff>238125</xdr:rowOff>
                  </to>
                </anchor>
              </controlPr>
            </control>
          </mc:Choice>
        </mc:AlternateContent>
        <mc:AlternateContent xmlns:mc="http://schemas.openxmlformats.org/markup-compatibility/2006">
          <mc:Choice Requires="x14">
            <control shapeId="15422" r:id="rId23" name="Check Box 62">
              <controlPr defaultSize="0" autoFill="0" autoLine="0" autoPict="0">
                <anchor moveWithCells="1">
                  <from>
                    <xdr:col>0</xdr:col>
                    <xdr:colOff>47625</xdr:colOff>
                    <xdr:row>32</xdr:row>
                    <xdr:rowOff>0</xdr:rowOff>
                  </from>
                  <to>
                    <xdr:col>0</xdr:col>
                    <xdr:colOff>257175</xdr:colOff>
                    <xdr:row>32</xdr:row>
                    <xdr:rowOff>238125</xdr:rowOff>
                  </to>
                </anchor>
              </controlPr>
            </control>
          </mc:Choice>
        </mc:AlternateContent>
        <mc:AlternateContent xmlns:mc="http://schemas.openxmlformats.org/markup-compatibility/2006">
          <mc:Choice Requires="x14">
            <control shapeId="15423" r:id="rId24" name="Check Box 63">
              <controlPr defaultSize="0" autoFill="0" autoLine="0" autoPict="0">
                <anchor moveWithCells="1">
                  <from>
                    <xdr:col>0</xdr:col>
                    <xdr:colOff>47625</xdr:colOff>
                    <xdr:row>33</xdr:row>
                    <xdr:rowOff>0</xdr:rowOff>
                  </from>
                  <to>
                    <xdr:col>0</xdr:col>
                    <xdr:colOff>257175</xdr:colOff>
                    <xdr:row>33</xdr:row>
                    <xdr:rowOff>238125</xdr:rowOff>
                  </to>
                </anchor>
              </controlPr>
            </control>
          </mc:Choice>
        </mc:AlternateContent>
        <mc:AlternateContent xmlns:mc="http://schemas.openxmlformats.org/markup-compatibility/2006">
          <mc:Choice Requires="x14">
            <control shapeId="15424" r:id="rId25" name="Check Box 64">
              <controlPr defaultSize="0" autoFill="0" autoLine="0" autoPict="0">
                <anchor moveWithCells="1">
                  <from>
                    <xdr:col>0</xdr:col>
                    <xdr:colOff>47625</xdr:colOff>
                    <xdr:row>34</xdr:row>
                    <xdr:rowOff>0</xdr:rowOff>
                  </from>
                  <to>
                    <xdr:col>0</xdr:col>
                    <xdr:colOff>257175</xdr:colOff>
                    <xdr:row>34</xdr:row>
                    <xdr:rowOff>238125</xdr:rowOff>
                  </to>
                </anchor>
              </controlPr>
            </control>
          </mc:Choice>
        </mc:AlternateContent>
        <mc:AlternateContent xmlns:mc="http://schemas.openxmlformats.org/markup-compatibility/2006">
          <mc:Choice Requires="x14">
            <control shapeId="15425" r:id="rId26" name="Check Box 65">
              <controlPr defaultSize="0" autoFill="0" autoLine="0" autoPict="0">
                <anchor moveWithCells="1">
                  <from>
                    <xdr:col>0</xdr:col>
                    <xdr:colOff>47625</xdr:colOff>
                    <xdr:row>37</xdr:row>
                    <xdr:rowOff>0</xdr:rowOff>
                  </from>
                  <to>
                    <xdr:col>0</xdr:col>
                    <xdr:colOff>257175</xdr:colOff>
                    <xdr:row>37</xdr:row>
                    <xdr:rowOff>238125</xdr:rowOff>
                  </to>
                </anchor>
              </controlPr>
            </control>
          </mc:Choice>
        </mc:AlternateContent>
        <mc:AlternateContent xmlns:mc="http://schemas.openxmlformats.org/markup-compatibility/2006">
          <mc:Choice Requires="x14">
            <control shapeId="15426" r:id="rId27" name="Check Box 66">
              <controlPr defaultSize="0" autoFill="0" autoLine="0" autoPict="0">
                <anchor moveWithCells="1">
                  <from>
                    <xdr:col>0</xdr:col>
                    <xdr:colOff>47625</xdr:colOff>
                    <xdr:row>38</xdr:row>
                    <xdr:rowOff>0</xdr:rowOff>
                  </from>
                  <to>
                    <xdr:col>0</xdr:col>
                    <xdr:colOff>257175</xdr:colOff>
                    <xdr:row>38</xdr:row>
                    <xdr:rowOff>238125</xdr:rowOff>
                  </to>
                </anchor>
              </controlPr>
            </control>
          </mc:Choice>
        </mc:AlternateContent>
        <mc:AlternateContent xmlns:mc="http://schemas.openxmlformats.org/markup-compatibility/2006">
          <mc:Choice Requires="x14">
            <control shapeId="15427" r:id="rId28" name="Check Box 67">
              <controlPr defaultSize="0" autoFill="0" autoLine="0" autoPict="0">
                <anchor moveWithCells="1">
                  <from>
                    <xdr:col>0</xdr:col>
                    <xdr:colOff>47625</xdr:colOff>
                    <xdr:row>39</xdr:row>
                    <xdr:rowOff>0</xdr:rowOff>
                  </from>
                  <to>
                    <xdr:col>0</xdr:col>
                    <xdr:colOff>257175</xdr:colOff>
                    <xdr:row>39</xdr:row>
                    <xdr:rowOff>238125</xdr:rowOff>
                  </to>
                </anchor>
              </controlPr>
            </control>
          </mc:Choice>
        </mc:AlternateContent>
        <mc:AlternateContent xmlns:mc="http://schemas.openxmlformats.org/markup-compatibility/2006">
          <mc:Choice Requires="x14">
            <control shapeId="15428" r:id="rId29" name="Check Box 68">
              <controlPr defaultSize="0" autoFill="0" autoLine="0" autoPict="0">
                <anchor moveWithCells="1">
                  <from>
                    <xdr:col>0</xdr:col>
                    <xdr:colOff>47625</xdr:colOff>
                    <xdr:row>40</xdr:row>
                    <xdr:rowOff>0</xdr:rowOff>
                  </from>
                  <to>
                    <xdr:col>0</xdr:col>
                    <xdr:colOff>257175</xdr:colOff>
                    <xdr:row>40</xdr:row>
                    <xdr:rowOff>238125</xdr:rowOff>
                  </to>
                </anchor>
              </controlPr>
            </control>
          </mc:Choice>
        </mc:AlternateContent>
        <mc:AlternateContent xmlns:mc="http://schemas.openxmlformats.org/markup-compatibility/2006">
          <mc:Choice Requires="x14">
            <control shapeId="15429" r:id="rId30" name="Check Box 69">
              <controlPr defaultSize="0" autoFill="0" autoLine="0" autoPict="0">
                <anchor moveWithCells="1">
                  <from>
                    <xdr:col>0</xdr:col>
                    <xdr:colOff>47625</xdr:colOff>
                    <xdr:row>41</xdr:row>
                    <xdr:rowOff>0</xdr:rowOff>
                  </from>
                  <to>
                    <xdr:col>0</xdr:col>
                    <xdr:colOff>257175</xdr:colOff>
                    <xdr:row>41</xdr:row>
                    <xdr:rowOff>238125</xdr:rowOff>
                  </to>
                </anchor>
              </controlPr>
            </control>
          </mc:Choice>
        </mc:AlternateContent>
        <mc:AlternateContent xmlns:mc="http://schemas.openxmlformats.org/markup-compatibility/2006">
          <mc:Choice Requires="x14">
            <control shapeId="15430" r:id="rId31" name="Check Box 70">
              <controlPr defaultSize="0" autoFill="0" autoLine="0" autoPict="0">
                <anchor moveWithCells="1">
                  <from>
                    <xdr:col>0</xdr:col>
                    <xdr:colOff>47625</xdr:colOff>
                    <xdr:row>42</xdr:row>
                    <xdr:rowOff>0</xdr:rowOff>
                  </from>
                  <to>
                    <xdr:col>0</xdr:col>
                    <xdr:colOff>257175</xdr:colOff>
                    <xdr:row>42</xdr:row>
                    <xdr:rowOff>238125</xdr:rowOff>
                  </to>
                </anchor>
              </controlPr>
            </control>
          </mc:Choice>
        </mc:AlternateContent>
        <mc:AlternateContent xmlns:mc="http://schemas.openxmlformats.org/markup-compatibility/2006">
          <mc:Choice Requires="x14">
            <control shapeId="15435" r:id="rId32" name="Check Box 75">
              <controlPr defaultSize="0" autoFill="0" autoLine="0" autoPict="0">
                <anchor moveWithCells="1">
                  <from>
                    <xdr:col>4</xdr:col>
                    <xdr:colOff>0</xdr:colOff>
                    <xdr:row>17</xdr:row>
                    <xdr:rowOff>0</xdr:rowOff>
                  </from>
                  <to>
                    <xdr:col>4</xdr:col>
                    <xdr:colOff>781050</xdr:colOff>
                    <xdr:row>18</xdr:row>
                    <xdr:rowOff>9525</xdr:rowOff>
                  </to>
                </anchor>
              </controlPr>
            </control>
          </mc:Choice>
        </mc:AlternateContent>
        <mc:AlternateContent xmlns:mc="http://schemas.openxmlformats.org/markup-compatibility/2006">
          <mc:Choice Requires="x14">
            <control shapeId="15436" r:id="rId33" name="Check Box 76">
              <controlPr defaultSize="0" autoFill="0" autoLine="0" autoPict="0">
                <anchor moveWithCells="1">
                  <from>
                    <xdr:col>4</xdr:col>
                    <xdr:colOff>0</xdr:colOff>
                    <xdr:row>17</xdr:row>
                    <xdr:rowOff>171450</xdr:rowOff>
                  </from>
                  <to>
                    <xdr:col>4</xdr:col>
                    <xdr:colOff>781050</xdr:colOff>
                    <xdr:row>18</xdr:row>
                    <xdr:rowOff>180975</xdr:rowOff>
                  </to>
                </anchor>
              </controlPr>
            </control>
          </mc:Choice>
        </mc:AlternateContent>
        <mc:AlternateContent xmlns:mc="http://schemas.openxmlformats.org/markup-compatibility/2006">
          <mc:Choice Requires="x14">
            <control shapeId="15437" r:id="rId34" name="Check Box 77">
              <controlPr defaultSize="0" autoFill="0" autoLine="0" autoPict="0">
                <anchor moveWithCells="1">
                  <from>
                    <xdr:col>4</xdr:col>
                    <xdr:colOff>0</xdr:colOff>
                    <xdr:row>21</xdr:row>
                    <xdr:rowOff>0</xdr:rowOff>
                  </from>
                  <to>
                    <xdr:col>4</xdr:col>
                    <xdr:colOff>781050</xdr:colOff>
                    <xdr:row>22</xdr:row>
                    <xdr:rowOff>9525</xdr:rowOff>
                  </to>
                </anchor>
              </controlPr>
            </control>
          </mc:Choice>
        </mc:AlternateContent>
        <mc:AlternateContent xmlns:mc="http://schemas.openxmlformats.org/markup-compatibility/2006">
          <mc:Choice Requires="x14">
            <control shapeId="15438" r:id="rId35" name="Check Box 78">
              <controlPr defaultSize="0" autoFill="0" autoLine="0" autoPict="0">
                <anchor moveWithCells="1">
                  <from>
                    <xdr:col>4</xdr:col>
                    <xdr:colOff>0</xdr:colOff>
                    <xdr:row>21</xdr:row>
                    <xdr:rowOff>171450</xdr:rowOff>
                  </from>
                  <to>
                    <xdr:col>4</xdr:col>
                    <xdr:colOff>781050</xdr:colOff>
                    <xdr:row>22</xdr:row>
                    <xdr:rowOff>180975</xdr:rowOff>
                  </to>
                </anchor>
              </controlPr>
            </control>
          </mc:Choice>
        </mc:AlternateContent>
        <mc:AlternateContent xmlns:mc="http://schemas.openxmlformats.org/markup-compatibility/2006">
          <mc:Choice Requires="x14">
            <control shapeId="15439" r:id="rId36" name="Check Box 79">
              <controlPr defaultSize="0" autoFill="0" autoLine="0" autoPict="0">
                <anchor moveWithCells="1">
                  <from>
                    <xdr:col>4</xdr:col>
                    <xdr:colOff>0</xdr:colOff>
                    <xdr:row>25</xdr:row>
                    <xdr:rowOff>0</xdr:rowOff>
                  </from>
                  <to>
                    <xdr:col>4</xdr:col>
                    <xdr:colOff>781050</xdr:colOff>
                    <xdr:row>26</xdr:row>
                    <xdr:rowOff>9525</xdr:rowOff>
                  </to>
                </anchor>
              </controlPr>
            </control>
          </mc:Choice>
        </mc:AlternateContent>
        <mc:AlternateContent xmlns:mc="http://schemas.openxmlformats.org/markup-compatibility/2006">
          <mc:Choice Requires="x14">
            <control shapeId="15440" r:id="rId37" name="Check Box 80">
              <controlPr defaultSize="0" autoFill="0" autoLine="0" autoPict="0">
                <anchor moveWithCells="1">
                  <from>
                    <xdr:col>4</xdr:col>
                    <xdr:colOff>0</xdr:colOff>
                    <xdr:row>25</xdr:row>
                    <xdr:rowOff>171450</xdr:rowOff>
                  </from>
                  <to>
                    <xdr:col>4</xdr:col>
                    <xdr:colOff>781050</xdr:colOff>
                    <xdr:row>26</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2060"/>
    <pageSetUpPr fitToPage="1"/>
  </sheetPr>
  <dimension ref="A1:Z167"/>
  <sheetViews>
    <sheetView showGridLines="0" zoomScaleNormal="100" workbookViewId="0">
      <selection sqref="A1:E1"/>
    </sheetView>
  </sheetViews>
  <sheetFormatPr defaultRowHeight="15" x14ac:dyDescent="0.25"/>
  <cols>
    <col min="1" max="2" width="15.7109375" style="64" customWidth="1"/>
    <col min="3" max="3" width="25.7109375" style="64" customWidth="1"/>
    <col min="4" max="5" width="58.7109375" style="64" customWidth="1"/>
    <col min="6" max="6" width="41.140625" style="64" customWidth="1"/>
    <col min="7" max="8" width="18.7109375" style="64" customWidth="1"/>
    <col min="9" max="9" width="30.85546875" style="549" customWidth="1"/>
    <col min="10" max="10" width="19.42578125" style="549" customWidth="1"/>
    <col min="11" max="13" width="20.7109375" style="64" customWidth="1"/>
    <col min="14" max="17" width="11.7109375" style="64" customWidth="1"/>
    <col min="18" max="18" width="28" style="549" bestFit="1" customWidth="1"/>
    <col min="19" max="19" width="11.5703125" style="64" bestFit="1" customWidth="1"/>
    <col min="20" max="20" width="20.85546875" style="64" bestFit="1" customWidth="1"/>
    <col min="21" max="21" width="18.28515625" style="549" customWidth="1"/>
    <col min="22" max="22" width="63.140625" style="64" bestFit="1" customWidth="1"/>
    <col min="23" max="23" width="9" style="64" bestFit="1" customWidth="1"/>
    <col min="24" max="24" width="8.140625" style="64" customWidth="1"/>
    <col min="25" max="25" width="44.42578125" style="64" bestFit="1" customWidth="1"/>
    <col min="26" max="26" width="9" style="64" bestFit="1" customWidth="1"/>
    <col min="27" max="16384" width="9.140625" style="64"/>
  </cols>
  <sheetData>
    <row r="1" spans="1:26" s="69" customFormat="1" ht="26.25" customHeight="1" thickBot="1" x14ac:dyDescent="0.3">
      <c r="A1" s="1220" t="s">
        <v>1701</v>
      </c>
      <c r="B1" s="1220"/>
      <c r="C1" s="1220"/>
      <c r="D1" s="1220"/>
      <c r="E1" s="1220"/>
      <c r="I1" s="140"/>
      <c r="J1" s="140"/>
      <c r="R1" s="140"/>
      <c r="U1" s="140"/>
    </row>
    <row r="2" spans="1:26" s="697" customFormat="1" ht="30" customHeight="1" x14ac:dyDescent="0.25">
      <c r="A2" s="1219" t="s">
        <v>1885</v>
      </c>
      <c r="B2" s="1219"/>
      <c r="C2" s="1219"/>
      <c r="D2" s="1219"/>
      <c r="E2" s="1219"/>
      <c r="I2" s="723"/>
      <c r="J2" s="723"/>
      <c r="Q2" s="698" t="s">
        <v>2160</v>
      </c>
      <c r="R2" s="699" t="s">
        <v>2161</v>
      </c>
      <c r="S2" s="698" t="s">
        <v>2126</v>
      </c>
      <c r="U2" s="698"/>
      <c r="V2" s="699"/>
    </row>
    <row r="3" spans="1:26" s="675" customFormat="1" ht="30" customHeight="1" x14ac:dyDescent="0.25">
      <c r="A3" s="695">
        <v>1</v>
      </c>
      <c r="B3" s="1199" t="s">
        <v>2162</v>
      </c>
      <c r="C3" s="1199"/>
      <c r="D3" s="1199"/>
      <c r="E3" s="696" t="s">
        <v>2163</v>
      </c>
      <c r="I3" s="656"/>
      <c r="J3" s="656"/>
      <c r="M3" s="743" t="b">
        <v>0</v>
      </c>
      <c r="N3" s="743" t="b">
        <v>0</v>
      </c>
      <c r="O3" s="743" t="b">
        <v>0</v>
      </c>
      <c r="P3" s="675" t="b">
        <f>IF(OR(AND(M3=FALSE,N3=FALSE,O3=FALSE),AND(M3=TRUE,N3=TRUE,O3=TRUE),AND(M3=TRUE,N3=TRUE),AND(M3=TRUE,O3=TRUE),AND(N3=TRUE,O3=TRUE)),FALSE,TRUE)</f>
        <v>0</v>
      </c>
      <c r="Q3" s="66">
        <v>0</v>
      </c>
      <c r="R3" s="675" t="s">
        <v>2127</v>
      </c>
      <c r="S3" s="66">
        <v>20200102</v>
      </c>
      <c r="T3" s="68"/>
      <c r="U3" s="66"/>
      <c r="V3" s="68"/>
      <c r="W3" s="68"/>
    </row>
    <row r="4" spans="1:26" s="68" customFormat="1" ht="33" customHeight="1" x14ac:dyDescent="0.25">
      <c r="A4" s="695">
        <v>2</v>
      </c>
      <c r="B4" s="1199" t="s">
        <v>2165</v>
      </c>
      <c r="C4" s="1227"/>
      <c r="D4" s="1228"/>
      <c r="E4" s="655"/>
      <c r="F4" s="1203" t="str">
        <f>IF(P4=TRUE,"*** Do not include boilers less than 10 million Btu/hr 
        that are fired only on natural gas.",IF(AND(N4=TRUE,O4=TRUE,E4&gt;0),"&lt;&lt;&lt;Remove value from box!",""))</f>
        <v/>
      </c>
      <c r="G4" s="1204"/>
      <c r="H4" s="123"/>
      <c r="I4" s="66"/>
      <c r="J4" s="66"/>
      <c r="M4" s="553" t="b">
        <v>0</v>
      </c>
      <c r="N4" s="553" t="b">
        <v>0</v>
      </c>
      <c r="O4" s="68" t="b">
        <f>IF(OR(AND(M4=FALSE,N4=FALSE),AND(M4=TRUE,N4=TRUE)),FALSE,TRUE)</f>
        <v>0</v>
      </c>
      <c r="P4" s="68" t="b">
        <f>IF(AND(M4=TRUE,O4=TRUE),TRUE,FALSE)</f>
        <v>0</v>
      </c>
      <c r="Q4" s="66">
        <v>1</v>
      </c>
      <c r="R4" s="675" t="s">
        <v>2128</v>
      </c>
      <c r="S4" s="66">
        <v>20200401</v>
      </c>
      <c r="U4" s="66"/>
      <c r="V4" s="66"/>
    </row>
    <row r="5" spans="1:26" s="68" customFormat="1" ht="33" customHeight="1" x14ac:dyDescent="0.25">
      <c r="A5" s="695">
        <v>3</v>
      </c>
      <c r="B5" s="1199" t="s">
        <v>2214</v>
      </c>
      <c r="C5" s="1227"/>
      <c r="D5" s="1228"/>
      <c r="E5" s="655"/>
      <c r="F5" s="1203" t="str">
        <f>IF(P5=TRUE,"*** Do not include cooling towers that are rated to provide 
        less than 2,000 gallons/minute circulating flow.",IF(AND(N5=TRUE,O5=TRUE,E5&gt;0),"&lt;&lt;&lt;Remove value from box!",""))</f>
        <v/>
      </c>
      <c r="G5" s="1204"/>
      <c r="H5" s="123"/>
      <c r="I5" s="66"/>
      <c r="J5" s="66"/>
      <c r="M5" s="553" t="b">
        <v>0</v>
      </c>
      <c r="N5" s="553" t="b">
        <v>0</v>
      </c>
      <c r="O5" s="68" t="b">
        <f>IF(OR(AND(M5=FALSE,N5=FALSE),AND(M5=TRUE,N5=TRUE)),FALSE,TRUE)</f>
        <v>0</v>
      </c>
      <c r="P5" s="68" t="b">
        <f t="shared" ref="P5:P8" si="0">IF(AND(M5=TRUE,O5=TRUE),TRUE,FALSE)</f>
        <v>0</v>
      </c>
      <c r="Q5" s="66">
        <v>2</v>
      </c>
      <c r="R5" s="675" t="s">
        <v>2207</v>
      </c>
      <c r="S5" s="66">
        <v>20200301</v>
      </c>
      <c r="U5" s="66"/>
      <c r="V5" s="66"/>
    </row>
    <row r="6" spans="1:26" s="68" customFormat="1" ht="33" customHeight="1" x14ac:dyDescent="0.25">
      <c r="A6" s="695">
        <v>4</v>
      </c>
      <c r="B6" s="1199" t="s">
        <v>2270</v>
      </c>
      <c r="C6" s="1227"/>
      <c r="D6" s="1228"/>
      <c r="E6" s="550"/>
      <c r="F6" s="92" t="str">
        <f>IF(AND(N6=TRUE,O6=TRUE,ISNUMBER(E6)),"&lt;&lt;&lt; Remove value from box.","")</f>
        <v/>
      </c>
      <c r="I6" s="66"/>
      <c r="J6" s="66"/>
      <c r="M6" s="553" t="b">
        <v>0</v>
      </c>
      <c r="N6" s="553" t="b">
        <v>0</v>
      </c>
      <c r="O6" s="68" t="b">
        <f>IF(OR(AND(M6=FALSE,N6=FALSE),AND(M6=TRUE,N6=TRUE)),FALSE,TRUE)</f>
        <v>0</v>
      </c>
      <c r="P6" s="68" t="b">
        <f t="shared" si="0"/>
        <v>0</v>
      </c>
      <c r="Q6" s="66">
        <v>3</v>
      </c>
      <c r="R6" s="675" t="s">
        <v>2208</v>
      </c>
      <c r="S6" s="66">
        <v>20200253</v>
      </c>
      <c r="U6" s="66"/>
    </row>
    <row r="7" spans="1:26" s="68" customFormat="1" ht="33" customHeight="1" x14ac:dyDescent="0.25">
      <c r="A7" s="695">
        <v>5</v>
      </c>
      <c r="B7" s="1199" t="s">
        <v>2166</v>
      </c>
      <c r="C7" s="1227"/>
      <c r="D7" s="1228"/>
      <c r="E7" s="702"/>
      <c r="F7" s="1203" t="s">
        <v>2170</v>
      </c>
      <c r="G7" s="1204"/>
      <c r="H7" s="123"/>
      <c r="I7" s="66"/>
      <c r="J7" s="66"/>
      <c r="M7" s="553" t="b">
        <v>0</v>
      </c>
      <c r="N7" s="553" t="b">
        <v>0</v>
      </c>
      <c r="O7" s="68" t="b">
        <f>IF(OR(AND(M7=FALSE,N7=FALSE),AND(M7=TRUE,N7=TRUE)),FALSE,TRUE)</f>
        <v>0</v>
      </c>
      <c r="P7" s="68" t="b">
        <f t="shared" si="0"/>
        <v>0</v>
      </c>
      <c r="Q7" s="66">
        <v>4</v>
      </c>
      <c r="R7" s="675" t="s">
        <v>2209</v>
      </c>
      <c r="S7" s="66">
        <v>20200254</v>
      </c>
      <c r="U7" s="656"/>
      <c r="V7" s="675"/>
      <c r="W7" s="675"/>
    </row>
    <row r="8" spans="1:26" s="682" customFormat="1" ht="33" customHeight="1" x14ac:dyDescent="0.25">
      <c r="A8" s="700">
        <v>6</v>
      </c>
      <c r="B8" s="1229" t="s">
        <v>2164</v>
      </c>
      <c r="C8" s="1229"/>
      <c r="D8" s="1230"/>
      <c r="E8" s="701" t="str">
        <f>IF(AND(M8=TRUE,O8=TRUE),"Continue to additional instructions for Miscellaneous Emission Units below.",IF(AND(N8=TRUE,O8=TRUE),"Continue and complete Table 3-A below.",""))</f>
        <v/>
      </c>
      <c r="F8" s="688" t="str">
        <f>IF(AND(M8=TRUE,N8=TRUE),"&lt;&lt;&lt; Too many boxes checked!","")</f>
        <v/>
      </c>
      <c r="I8" s="684"/>
      <c r="J8" s="684"/>
      <c r="M8" s="683" t="b">
        <v>0</v>
      </c>
      <c r="N8" s="683" t="b">
        <v>0</v>
      </c>
      <c r="O8" s="682" t="b">
        <f>IF(OR(AND(M8=FALSE,N8=FALSE),AND(M8=TRUE,N8=TRUE)),FALSE,TRUE)</f>
        <v>0</v>
      </c>
      <c r="P8" s="682" t="b">
        <f t="shared" si="0"/>
        <v>0</v>
      </c>
      <c r="Q8" s="684">
        <v>5</v>
      </c>
      <c r="R8" s="685"/>
      <c r="T8" s="684"/>
      <c r="U8" s="684"/>
    </row>
    <row r="9" spans="1:26" s="709" customFormat="1" ht="8.1" customHeight="1" thickBot="1" x14ac:dyDescent="0.3">
      <c r="A9" s="715"/>
      <c r="B9" s="715"/>
      <c r="C9" s="715"/>
      <c r="D9" s="715"/>
      <c r="E9" s="715"/>
      <c r="I9" s="711"/>
      <c r="J9" s="711"/>
      <c r="U9" s="711"/>
    </row>
    <row r="10" spans="1:26" s="716" customFormat="1" ht="20.100000000000001" customHeight="1" thickTop="1" thickBot="1" x14ac:dyDescent="0.3">
      <c r="A10" s="1232" t="s">
        <v>2172</v>
      </c>
      <c r="B10" s="1233"/>
      <c r="C10" s="1233"/>
      <c r="D10" s="1233"/>
      <c r="E10" s="1233"/>
      <c r="F10" s="758"/>
      <c r="G10" s="758"/>
      <c r="H10" s="758"/>
      <c r="K10" s="758"/>
      <c r="L10" s="758"/>
      <c r="M10" s="758"/>
      <c r="N10" s="758"/>
      <c r="O10" s="758"/>
      <c r="P10" s="758"/>
      <c r="Q10" s="758"/>
      <c r="W10" s="718"/>
      <c r="Y10" s="735"/>
      <c r="Z10" s="735"/>
    </row>
    <row r="11" spans="1:26" s="707" customFormat="1" ht="20.100000000000001" customHeight="1" thickTop="1" x14ac:dyDescent="0.25">
      <c r="A11" s="1231" t="s">
        <v>2274</v>
      </c>
      <c r="B11" s="1231"/>
      <c r="C11" s="1231"/>
      <c r="D11" s="1231"/>
      <c r="E11" s="1231"/>
      <c r="K11" s="720"/>
      <c r="L11" s="720"/>
      <c r="O11" s="706" t="s">
        <v>2206</v>
      </c>
      <c r="R11" s="706" t="s">
        <v>2215</v>
      </c>
      <c r="T11" s="706" t="s">
        <v>2204</v>
      </c>
      <c r="U11" s="719" t="s">
        <v>2218</v>
      </c>
      <c r="V11" s="736" t="s">
        <v>2222</v>
      </c>
      <c r="W11" s="737" t="s">
        <v>2223</v>
      </c>
      <c r="Y11" s="734" t="s">
        <v>2255</v>
      </c>
      <c r="Z11" s="733" t="s">
        <v>2223</v>
      </c>
    </row>
    <row r="12" spans="1:26" s="689" customFormat="1" ht="20.100000000000001" customHeight="1" x14ac:dyDescent="0.25">
      <c r="A12" s="1173" t="s">
        <v>2175</v>
      </c>
      <c r="B12" s="1176" t="s">
        <v>2173</v>
      </c>
      <c r="C12" s="1176"/>
      <c r="D12" s="1176"/>
      <c r="E12" s="744"/>
      <c r="F12" s="1163" t="str">
        <f>IF(AND(P17=TRUE,Q17=TRUE,OR(E15=$T$17,E15=$T$18,E16=$T$17,E16=$T$18,E17=$T$17,E17=$T$18)),"This boiler combination is not supported by this worksheet.  Enter boiler information in 'Miscellaneous Emission Units'.","")</f>
        <v/>
      </c>
      <c r="G12" s="1164"/>
      <c r="K12" s="690"/>
      <c r="L12" s="690"/>
      <c r="N12" s="689" t="str">
        <f>IF($P$3=FALSE,"",IF(AND($P$3=TRUE,$M$3=TRUE),"Industrial","Commercial/Institutional"))</f>
        <v/>
      </c>
      <c r="O12" s="694" t="s">
        <v>1409</v>
      </c>
      <c r="R12" s="689" t="s">
        <v>2216</v>
      </c>
      <c r="S12" s="690"/>
      <c r="T12" s="691" t="s">
        <v>1409</v>
      </c>
      <c r="U12" s="690" t="s">
        <v>2219</v>
      </c>
      <c r="V12" s="738" t="s">
        <v>2252</v>
      </c>
      <c r="W12" s="739">
        <v>10200204</v>
      </c>
      <c r="Y12" s="729" t="s">
        <v>2256</v>
      </c>
      <c r="Z12" s="730">
        <v>20200101</v>
      </c>
    </row>
    <row r="13" spans="1:26" s="68" customFormat="1" ht="20.100000000000001" customHeight="1" x14ac:dyDescent="0.25">
      <c r="A13" s="1174"/>
      <c r="B13" s="1177" t="s">
        <v>2183</v>
      </c>
      <c r="C13" s="1177"/>
      <c r="D13" s="1177"/>
      <c r="E13" s="745"/>
      <c r="F13" s="1165"/>
      <c r="G13" s="1166"/>
      <c r="K13" s="66"/>
      <c r="L13" s="66"/>
      <c r="O13" s="686" t="s">
        <v>2257</v>
      </c>
      <c r="R13" s="68" t="s">
        <v>2217</v>
      </c>
      <c r="S13" s="66"/>
      <c r="T13" s="675" t="s">
        <v>2199</v>
      </c>
      <c r="U13" s="66" t="s">
        <v>2220</v>
      </c>
      <c r="V13" s="729" t="s">
        <v>2225</v>
      </c>
      <c r="W13" s="730">
        <v>10200219</v>
      </c>
      <c r="Y13" s="729" t="s">
        <v>2258</v>
      </c>
      <c r="Z13" s="730">
        <v>20200201</v>
      </c>
    </row>
    <row r="14" spans="1:26" s="68" customFormat="1" ht="20.100000000000001" customHeight="1" x14ac:dyDescent="0.25">
      <c r="A14" s="1174"/>
      <c r="B14" s="1177" t="s">
        <v>2184</v>
      </c>
      <c r="C14" s="1177"/>
      <c r="D14" s="1177"/>
      <c r="E14" s="746"/>
      <c r="F14" s="687" t="s">
        <v>2180</v>
      </c>
      <c r="G14" s="760" t="s">
        <v>2327</v>
      </c>
      <c r="H14" s="760" t="s">
        <v>2328</v>
      </c>
      <c r="K14" s="66"/>
      <c r="L14" s="66"/>
      <c r="S14" s="66"/>
      <c r="T14" s="675" t="s">
        <v>2202</v>
      </c>
      <c r="U14" s="66" t="s">
        <v>2221</v>
      </c>
      <c r="V14" s="729" t="s">
        <v>2251</v>
      </c>
      <c r="W14" s="730">
        <v>10200224</v>
      </c>
      <c r="Y14" s="729" t="s">
        <v>2260</v>
      </c>
      <c r="Z14" s="730">
        <v>20300102</v>
      </c>
    </row>
    <row r="15" spans="1:26" s="68" customFormat="1" ht="20.100000000000001" customHeight="1" thickBot="1" x14ac:dyDescent="0.3">
      <c r="A15" s="1174"/>
      <c r="B15" s="1177" t="s">
        <v>2185</v>
      </c>
      <c r="C15" s="1177"/>
      <c r="D15" s="1177"/>
      <c r="E15" s="745"/>
      <c r="F15" s="759" t="s">
        <v>2326</v>
      </c>
      <c r="G15" s="785"/>
      <c r="H15" s="786"/>
      <c r="K15" s="66">
        <f ca="1">IFERROR(SUMIF($V$12:$W$47,N15,$W$12:$W$47),"")</f>
        <v>0</v>
      </c>
      <c r="L15" s="66">
        <f>E15</f>
        <v>0</v>
      </c>
      <c r="M15" s="686" t="str">
        <f>IF(OR(ISBLANK($E$14),Q16=FALSE,L15=$T$14,L15=$T$16),"",IF(AND(O16=TRUE,Q16=TRUE),$U$15,IF(AND(OR(L15=$T$17,L15=$T$18),P16=TRUE,Q16=TRUE,P17=TRUE,Q17=TRUE),"Not Supported",IF(AND(OR(L15=$T$17,L15=$T$18),P16=TRUE,Q16=TRUE,O17=TRUE,Q17=TRUE),$U$16,IF($E$14&gt;=100,$U$12,IF($E$14&gt;=10,$U$13,$U$14))))))</f>
        <v/>
      </c>
      <c r="N15" s="686" t="str">
        <f>$N$12&amp;" - "&amp;L15&amp;" - "&amp;M15</f>
        <v xml:space="preserve"> - 0 - </v>
      </c>
      <c r="S15" s="66"/>
      <c r="T15" s="675" t="s">
        <v>2203</v>
      </c>
      <c r="U15" s="66" t="s">
        <v>2224</v>
      </c>
      <c r="V15" s="729" t="s">
        <v>2226</v>
      </c>
      <c r="W15" s="730">
        <v>10200229</v>
      </c>
      <c r="Y15" s="731" t="s">
        <v>2259</v>
      </c>
      <c r="Z15" s="732">
        <v>20300202</v>
      </c>
    </row>
    <row r="16" spans="1:26" s="68" customFormat="1" ht="20.100000000000001" customHeight="1" x14ac:dyDescent="0.25">
      <c r="A16" s="1174"/>
      <c r="B16" s="1167" t="s">
        <v>2212</v>
      </c>
      <c r="C16" s="1168"/>
      <c r="D16" s="1169"/>
      <c r="E16" s="747"/>
      <c r="F16" s="721" t="s">
        <v>2247</v>
      </c>
      <c r="G16" s="722" t="s">
        <v>2248</v>
      </c>
      <c r="K16" s="66">
        <f ca="1">IFERROR(SUMIF($V$12:$W$47,N16,$W$12:$W$47),"")</f>
        <v>0</v>
      </c>
      <c r="L16" s="66">
        <f>E16</f>
        <v>0</v>
      </c>
      <c r="M16" s="68" t="str">
        <f>IF(OR(ISBLANK($E$14),Q16=FALSE,L16=$T$14,L16=$T$16),"",IF(AND(O16=TRUE,Q16=TRUE),$U$15,IF(AND(OR(L16=$T$17,L16=$T$18),P16=TRUE,Q16=TRUE,P17=TRUE,Q17=TRUE),"Not Supported",IF(AND(OR(L16=$T$17,L16=$T$18),P16=TRUE,Q16=TRUE,O17=TRUE,Q17=TRUE),$U$16,IF($E$14&gt;=100,$U$12,IF($E$14&gt;=10,$U$13,$U$14))))))</f>
        <v/>
      </c>
      <c r="N16" s="68" t="str">
        <f>$N$12&amp;" - "&amp;L16&amp;" - "&amp;M16</f>
        <v xml:space="preserve"> - 0 - </v>
      </c>
      <c r="O16" s="553" t="b">
        <v>0</v>
      </c>
      <c r="P16" s="553" t="b">
        <v>0</v>
      </c>
      <c r="Q16" s="68" t="b">
        <f>IF(OR(AND(O16=FALSE,P16=FALSE),AND(O16=TRUE,P16=TRUE)),FALSE,TRUE)</f>
        <v>0</v>
      </c>
      <c r="S16" s="66"/>
      <c r="T16" s="675" t="s">
        <v>2205</v>
      </c>
      <c r="U16" s="66" t="s">
        <v>2254</v>
      </c>
      <c r="V16" s="729" t="s">
        <v>2261</v>
      </c>
      <c r="W16" s="730">
        <v>10200401</v>
      </c>
    </row>
    <row r="17" spans="1:23" s="68" customFormat="1" ht="20.100000000000001" customHeight="1" thickBot="1" x14ac:dyDescent="0.3">
      <c r="A17" s="1175"/>
      <c r="B17" s="1170"/>
      <c r="C17" s="1171"/>
      <c r="D17" s="1172"/>
      <c r="E17" s="748"/>
      <c r="F17" s="726" t="str">
        <f>IF(Q16=FALSE,"",IF(AND(P16=TRUE,Q16=TRUE,OR(E15=$T$17,E15=$T$18,E16=$T$17,E16=$T$18,E17=$T$17,E17=$T$18)),"Is this a 'spreader stoker' unit?","Skip these boxes and proceed."))</f>
        <v/>
      </c>
      <c r="G17" s="727" t="s">
        <v>2248</v>
      </c>
      <c r="K17" s="66">
        <f ca="1">IFERROR(SUMIF($V$12:$W$47,N17,$W$12:$W$47),"")</f>
        <v>0</v>
      </c>
      <c r="L17" s="66">
        <f>E17</f>
        <v>0</v>
      </c>
      <c r="M17" s="68" t="str">
        <f>IF(OR(ISBLANK($E$14),Q16=FALSE,L17=$T$14,L17=$T$16),"",IF(AND(O16=TRUE,Q16=TRUE),$U$15,IF(AND(OR(L17=$T$17,L17=$T$18),P16=TRUE,Q16=TRUE,P17=TRUE,Q17=TRUE),"Not Supported",IF(AND(OR(L17=$T$17,L17=$T$18),P16=TRUE,Q16=TRUE,O17=TRUE,Q17=TRUE),$U$16,IF($E$14&gt;=100,$U$12,IF($E$14&gt;=10,$U$13,$U$14))))))</f>
        <v/>
      </c>
      <c r="N17" s="68" t="str">
        <f>$N$12&amp;" - "&amp;L17&amp;" - "&amp;M17</f>
        <v xml:space="preserve"> - 0 - </v>
      </c>
      <c r="O17" s="553" t="b">
        <v>0</v>
      </c>
      <c r="P17" s="553" t="b">
        <v>0</v>
      </c>
      <c r="Q17" s="68" t="b">
        <f>IF(OR(AND(O17=FALSE,P17=FALSE),AND(O17=TRUE,P17=TRUE)),FALSE,TRUE)</f>
        <v>0</v>
      </c>
      <c r="S17" s="66"/>
      <c r="T17" s="675" t="s">
        <v>2200</v>
      </c>
      <c r="V17" s="729" t="s">
        <v>2262</v>
      </c>
      <c r="W17" s="730">
        <v>10200402</v>
      </c>
    </row>
    <row r="18" spans="1:23" s="68" customFormat="1" ht="20.100000000000001" customHeight="1" x14ac:dyDescent="0.25">
      <c r="A18" s="1173" t="s">
        <v>2174</v>
      </c>
      <c r="B18" s="1176" t="s">
        <v>2173</v>
      </c>
      <c r="C18" s="1176"/>
      <c r="D18" s="1176"/>
      <c r="E18" s="744"/>
      <c r="F18" s="1165" t="str">
        <f>IF(AND(P23=TRUE,Q23=TRUE,OR(E21=$T$17,E21=$T$18,E22=$T$17,E22=$T$18,E23=$T$17,E23=$T$18)),"This boiler combination is not supported by this worksheet.  Enter boiler information in 'Miscellaneous Emission Units'.","")</f>
        <v/>
      </c>
      <c r="G18" s="1166"/>
      <c r="K18" s="66"/>
      <c r="L18" s="66"/>
      <c r="S18" s="66"/>
      <c r="T18" s="675" t="s">
        <v>2201</v>
      </c>
      <c r="V18" s="729" t="s">
        <v>2263</v>
      </c>
      <c r="W18" s="730">
        <v>10200403</v>
      </c>
    </row>
    <row r="19" spans="1:23" s="68" customFormat="1" ht="20.100000000000001" customHeight="1" x14ac:dyDescent="0.25">
      <c r="A19" s="1174"/>
      <c r="B19" s="1177" t="s">
        <v>2183</v>
      </c>
      <c r="C19" s="1177"/>
      <c r="D19" s="1177"/>
      <c r="E19" s="745"/>
      <c r="F19" s="1165"/>
      <c r="G19" s="1166"/>
      <c r="K19" s="66"/>
      <c r="L19" s="66"/>
      <c r="S19" s="66"/>
      <c r="T19" s="675"/>
      <c r="V19" s="729" t="s">
        <v>2266</v>
      </c>
      <c r="W19" s="730">
        <v>10200401</v>
      </c>
    </row>
    <row r="20" spans="1:23" s="68" customFormat="1" ht="20.100000000000001" customHeight="1" x14ac:dyDescent="0.25">
      <c r="A20" s="1174"/>
      <c r="B20" s="1177" t="s">
        <v>2184</v>
      </c>
      <c r="C20" s="1177"/>
      <c r="D20" s="1177"/>
      <c r="E20" s="746"/>
      <c r="F20" s="687" t="s">
        <v>2180</v>
      </c>
      <c r="G20" s="760" t="s">
        <v>2327</v>
      </c>
      <c r="H20" s="760" t="s">
        <v>2328</v>
      </c>
      <c r="K20" s="66"/>
      <c r="L20" s="66"/>
      <c r="S20" s="66"/>
      <c r="T20" s="675"/>
      <c r="V20" s="729" t="s">
        <v>2227</v>
      </c>
      <c r="W20" s="730">
        <v>10200501</v>
      </c>
    </row>
    <row r="21" spans="1:23" s="68" customFormat="1" ht="20.100000000000001" customHeight="1" x14ac:dyDescent="0.25">
      <c r="A21" s="1174"/>
      <c r="B21" s="1177" t="s">
        <v>2185</v>
      </c>
      <c r="C21" s="1177"/>
      <c r="D21" s="1177"/>
      <c r="E21" s="745"/>
      <c r="F21" s="759" t="s">
        <v>2326</v>
      </c>
      <c r="G21" s="785"/>
      <c r="H21" s="786"/>
      <c r="K21" s="66">
        <f ca="1">IFERROR(SUMIF($V$12:$W$47,N21,$W$12:$W$47),"")</f>
        <v>0</v>
      </c>
      <c r="L21" s="66">
        <f>E21</f>
        <v>0</v>
      </c>
      <c r="M21" s="68" t="str">
        <f>IF(OR(ISBLANK($E$20),Q22=FALSE,L21=$T$14,L21=$T$16),"",IF(AND(O22=TRUE,Q22=TRUE),$U$15,IF(AND(OR(L21=$T$17,L21=$T$18),P22=TRUE,Q22=TRUE,P23=TRUE,Q23=TRUE),"Not Supported",IF(AND(OR(L21=$T$17,L21=$T$18),P22=TRUE,Q22=TRUE,O23=TRUE,Q23=TRUE),$U$16,IF($E$20&gt;=100,$U$12,IF($E$20&gt;=10,$U$13,$U$14))))))</f>
        <v/>
      </c>
      <c r="N21" s="717" t="str">
        <f>$N$12&amp;" - "&amp;L21&amp;" - "&amp;M21</f>
        <v xml:space="preserve"> - 0 - </v>
      </c>
      <c r="S21" s="66"/>
      <c r="T21" s="675"/>
      <c r="V21" s="729" t="s">
        <v>2228</v>
      </c>
      <c r="W21" s="730">
        <v>10200502</v>
      </c>
    </row>
    <row r="22" spans="1:23" s="68" customFormat="1" ht="20.100000000000001" customHeight="1" x14ac:dyDescent="0.25">
      <c r="A22" s="1174"/>
      <c r="B22" s="1167" t="s">
        <v>2212</v>
      </c>
      <c r="C22" s="1168"/>
      <c r="D22" s="1169"/>
      <c r="E22" s="747"/>
      <c r="F22" s="721" t="s">
        <v>2247</v>
      </c>
      <c r="G22" s="722" t="s">
        <v>2248</v>
      </c>
      <c r="K22" s="66">
        <f ca="1">IFERROR(SUMIF($V$12:$W$47,N22,$W$12:$W$47),"")</f>
        <v>0</v>
      </c>
      <c r="L22" s="66">
        <f>E22</f>
        <v>0</v>
      </c>
      <c r="M22" s="68" t="str">
        <f>IF(OR(ISBLANK($E$20),Q22=FALSE,L22=$T$14,L22=$T$16),"",IF(AND(O22=TRUE,Q22=TRUE),$U$15,IF(AND(OR(L22=$T$17,L22=$T$18),P22=TRUE,Q22=TRUE,P23=TRUE,Q23=TRUE),"Not Supported",IF(AND(OR(L22=$T$17,L22=$T$18),P22=TRUE,Q22=TRUE,O23=TRUE,Q23=TRUE),$U$16,IF($E$20&gt;=100,$U$12,IF($E$20&gt;=10,$U$13,$U$14))))))</f>
        <v/>
      </c>
      <c r="N22" s="68" t="str">
        <f>$N$12&amp;" - "&amp;L22&amp;" - "&amp;M22</f>
        <v xml:space="preserve"> - 0 - </v>
      </c>
      <c r="O22" s="553" t="b">
        <v>0</v>
      </c>
      <c r="P22" s="553" t="b">
        <v>0</v>
      </c>
      <c r="Q22" s="68" t="b">
        <f>IF(OR(AND(O22=FALSE,P22=FALSE),AND(O22=TRUE,P22=TRUE)),FALSE,TRUE)</f>
        <v>0</v>
      </c>
      <c r="S22" s="66"/>
      <c r="T22" s="675"/>
      <c r="V22" s="729" t="s">
        <v>2229</v>
      </c>
      <c r="W22" s="730">
        <v>10200503</v>
      </c>
    </row>
    <row r="23" spans="1:23" s="68" customFormat="1" ht="20.100000000000001" customHeight="1" thickBot="1" x14ac:dyDescent="0.3">
      <c r="A23" s="1175"/>
      <c r="B23" s="1170"/>
      <c r="C23" s="1171"/>
      <c r="D23" s="1172"/>
      <c r="E23" s="748"/>
      <c r="F23" s="726" t="str">
        <f>IF(Q22=FALSE,"",IF(AND(P22=TRUE,Q22=TRUE,OR(E21=$T$17,E21=$T$18,E22=$T$17,E22=$T$18,E23=$T$17,E23=$T$18)),"Is this a 'spreader stoker' unit?","Skip these boxes and proceed."))</f>
        <v/>
      </c>
      <c r="G23" s="727" t="s">
        <v>2248</v>
      </c>
      <c r="K23" s="66">
        <f ca="1">IFERROR(SUMIF($V$12:$W$47,N23,$W$12:$W$47),"")</f>
        <v>0</v>
      </c>
      <c r="L23" s="66">
        <f>E23</f>
        <v>0</v>
      </c>
      <c r="M23" s="68" t="str">
        <f>IF(OR(ISBLANK($E$20),Q22=FALSE,L23=$T$14,L23=$T$16),"",IF(AND(O22=TRUE,Q22=TRUE),$U$15,IF(AND(OR(L23=$T$17,L23=$T$18),P22=TRUE,Q22=TRUE,P23=TRUE,Q23=TRUE),"Not Supported",IF(AND(OR(L23=$T$17,L23=$T$18),P22=TRUE,Q22=TRUE,O23=TRUE,Q23=TRUE),$U$16,IF($E$20&gt;=100,$U$12,IF($E$20&gt;=10,$U$13,$U$14))))))</f>
        <v/>
      </c>
      <c r="N23" s="68" t="str">
        <f>$N$12&amp;" - "&amp;L23&amp;" - "&amp;M23</f>
        <v xml:space="preserve"> - 0 - </v>
      </c>
      <c r="O23" s="553" t="b">
        <v>0</v>
      </c>
      <c r="P23" s="553" t="b">
        <v>0</v>
      </c>
      <c r="Q23" s="68" t="b">
        <f>IF(OR(AND(O23=FALSE,P23=FALSE),AND(O23=TRUE,P23=TRUE)),FALSE,TRUE)</f>
        <v>0</v>
      </c>
      <c r="S23" s="66"/>
      <c r="T23" s="675"/>
      <c r="V23" s="729" t="s">
        <v>2250</v>
      </c>
      <c r="W23" s="730">
        <v>10200504</v>
      </c>
    </row>
    <row r="24" spans="1:23" s="68" customFormat="1" ht="20.100000000000001" customHeight="1" x14ac:dyDescent="0.25">
      <c r="A24" s="1173" t="s">
        <v>2176</v>
      </c>
      <c r="B24" s="1176" t="s">
        <v>2173</v>
      </c>
      <c r="C24" s="1176"/>
      <c r="D24" s="1176"/>
      <c r="E24" s="744"/>
      <c r="F24" s="1165" t="str">
        <f>IF(AND(P29=TRUE,Q29=TRUE,OR(E27=$T$17,E27=$T$18,E28=$T$17,E28=$T$18,E29=$T$17,E29=$T$18)),"This boiler combination is not supported by this worksheet.  Enter boiler information in 'Miscellaneous Emission Units'.","")</f>
        <v/>
      </c>
      <c r="G24" s="1166"/>
      <c r="K24" s="66"/>
      <c r="L24" s="66"/>
      <c r="S24" s="66"/>
      <c r="T24" s="675"/>
      <c r="V24" s="729" t="s">
        <v>2230</v>
      </c>
      <c r="W24" s="730">
        <v>10200505</v>
      </c>
    </row>
    <row r="25" spans="1:23" s="68" customFormat="1" ht="20.100000000000001" customHeight="1" x14ac:dyDescent="0.25">
      <c r="A25" s="1174"/>
      <c r="B25" s="1177" t="s">
        <v>2183</v>
      </c>
      <c r="C25" s="1177"/>
      <c r="D25" s="1177"/>
      <c r="E25" s="745"/>
      <c r="F25" s="1165"/>
      <c r="G25" s="1166"/>
      <c r="K25" s="66"/>
      <c r="L25" s="66"/>
      <c r="S25" s="66"/>
      <c r="T25" s="675"/>
      <c r="V25" s="729" t="s">
        <v>2231</v>
      </c>
      <c r="W25" s="730">
        <v>10200601</v>
      </c>
    </row>
    <row r="26" spans="1:23" s="68" customFormat="1" ht="20.100000000000001" customHeight="1" x14ac:dyDescent="0.25">
      <c r="A26" s="1174"/>
      <c r="B26" s="1177" t="s">
        <v>2184</v>
      </c>
      <c r="C26" s="1177"/>
      <c r="D26" s="1177"/>
      <c r="E26" s="746"/>
      <c r="F26" s="687" t="s">
        <v>2180</v>
      </c>
      <c r="G26" s="760" t="s">
        <v>2327</v>
      </c>
      <c r="H26" s="760" t="s">
        <v>2328</v>
      </c>
      <c r="K26" s="66"/>
      <c r="L26" s="66"/>
      <c r="S26" s="66"/>
      <c r="T26" s="675"/>
      <c r="V26" s="729" t="s">
        <v>2232</v>
      </c>
      <c r="W26" s="730">
        <v>10200602</v>
      </c>
    </row>
    <row r="27" spans="1:23" s="68" customFormat="1" ht="20.100000000000001" customHeight="1" x14ac:dyDescent="0.25">
      <c r="A27" s="1174"/>
      <c r="B27" s="1177" t="s">
        <v>2185</v>
      </c>
      <c r="C27" s="1177"/>
      <c r="D27" s="1177"/>
      <c r="E27" s="745"/>
      <c r="F27" s="759" t="s">
        <v>2326</v>
      </c>
      <c r="G27" s="785"/>
      <c r="H27" s="786"/>
      <c r="K27" s="66">
        <f ca="1">IFERROR(SUMIF($V$12:$W$47,N27,$W$12:$W$47),"")</f>
        <v>0</v>
      </c>
      <c r="L27" s="66">
        <f>E27</f>
        <v>0</v>
      </c>
      <c r="M27" s="68" t="str">
        <f>IF(OR(ISBLANK($E$26),Q28=FALSE,L27=$T$14,L27=$T$16),"",IF(AND(O28=TRUE,Q28=TRUE),$U$15,IF(AND(OR(L27=$T$17,L27=$T$18),P28=TRUE,Q28=TRUE,P29=TRUE,Q29=TRUE),"Not Supported",IF(AND(OR(L27=$T$17,L27=$T$18),P28=TRUE,Q28=TRUE,O29=TRUE,Q29=TRUE),$U$16,IF($E$26&gt;=100,$U$12,IF($E$26&gt;=10,$U$13,$U$14))))))</f>
        <v/>
      </c>
      <c r="N27" s="68" t="str">
        <f>$N$12&amp;" - "&amp;L27&amp;" - "&amp;M27</f>
        <v xml:space="preserve"> - 0 - </v>
      </c>
      <c r="S27" s="66"/>
      <c r="T27" s="675"/>
      <c r="V27" s="729" t="s">
        <v>2233</v>
      </c>
      <c r="W27" s="730">
        <v>10200603</v>
      </c>
    </row>
    <row r="28" spans="1:23" s="68" customFormat="1" ht="20.100000000000001" customHeight="1" x14ac:dyDescent="0.25">
      <c r="A28" s="1174"/>
      <c r="B28" s="1167" t="s">
        <v>2212</v>
      </c>
      <c r="C28" s="1168"/>
      <c r="D28" s="1169"/>
      <c r="E28" s="747"/>
      <c r="F28" s="721" t="s">
        <v>2247</v>
      </c>
      <c r="G28" s="722" t="s">
        <v>2248</v>
      </c>
      <c r="K28" s="66">
        <f ca="1">IFERROR(SUMIF($V$12:$W$47,N28,$W$12:$W$47),"")</f>
        <v>0</v>
      </c>
      <c r="L28" s="66">
        <f>E28</f>
        <v>0</v>
      </c>
      <c r="M28" s="68" t="str">
        <f>IF(OR(ISBLANK($E$26),Q28=FALSE,L28=$T$14,L28=$T$16),"",IF(AND(O28=TRUE,Q28=TRUE),$U$15,IF(AND(OR(L28=$T$17,L28=$T$18),P28=TRUE,Q28=TRUE,P29=TRUE,Q29=TRUE),"Not Supported",IF(AND(OR(L28=$T$17,L28=$T$18),P28=TRUE,Q28=TRUE,O29=TRUE,Q29=TRUE),$U$16,IF($E$26&gt;=100,$U$12,IF($E$26&gt;=10,$U$13,$U$14))))))</f>
        <v/>
      </c>
      <c r="N28" s="68" t="str">
        <f>$N$12&amp;" - "&amp;L28&amp;" - "&amp;M28</f>
        <v xml:space="preserve"> - 0 - </v>
      </c>
      <c r="O28" s="553" t="b">
        <v>0</v>
      </c>
      <c r="P28" s="553" t="b">
        <v>0</v>
      </c>
      <c r="Q28" s="68" t="b">
        <f>IF(OR(AND(O28=FALSE,P28=FALSE),AND(O28=TRUE,P28=TRUE)),FALSE,TRUE)</f>
        <v>0</v>
      </c>
      <c r="S28" s="66"/>
      <c r="T28" s="675"/>
      <c r="V28" s="729" t="s">
        <v>2234</v>
      </c>
      <c r="W28" s="730">
        <v>10200604</v>
      </c>
    </row>
    <row r="29" spans="1:23" s="68" customFormat="1" ht="20.100000000000001" customHeight="1" thickBot="1" x14ac:dyDescent="0.3">
      <c r="A29" s="1175"/>
      <c r="B29" s="1170"/>
      <c r="C29" s="1171"/>
      <c r="D29" s="1172"/>
      <c r="E29" s="748"/>
      <c r="F29" s="726" t="str">
        <f>IF(Q28=FALSE,"",IF(AND(P28=TRUE,Q28=TRUE,OR(E27=$T$17,E27=$T$18,E28=$T$17,E28=$T$18,E29=$T$17,E29=$T$18)),"Is this a 'spreader stoker' unit?","Skip these boxes and proceed."))</f>
        <v/>
      </c>
      <c r="G29" s="727" t="s">
        <v>2248</v>
      </c>
      <c r="K29" s="66">
        <f ca="1">IFERROR(SUMIF($V$12:$W$47,N29,$W$12:$W$47),"")</f>
        <v>0</v>
      </c>
      <c r="L29" s="66">
        <f>E29</f>
        <v>0</v>
      </c>
      <c r="M29" s="68" t="str">
        <f>IF(OR(ISBLANK($E$26),Q28=FALSE,L29=$T$14,L29=$T$16),"",IF(AND(O28=TRUE,Q28=TRUE),$U$15,IF(AND(OR(L29=$T$17,L29=$T$18),P28=TRUE,Q28=TRUE,P29=TRUE,Q29=TRUE),"Not Supported",IF(AND(OR(L29=$T$17,L29=$T$18),P28=TRUE,Q28=TRUE,O29=TRUE,Q29=TRUE),$U$16,IF($E$26&gt;=100,$U$12,IF($E$26&gt;=10,$U$13,$U$14))))))</f>
        <v/>
      </c>
      <c r="N29" s="68" t="str">
        <f>$N$12&amp;" - "&amp;L29&amp;" - "&amp;M29</f>
        <v xml:space="preserve"> - 0 - </v>
      </c>
      <c r="O29" s="553" t="b">
        <v>0</v>
      </c>
      <c r="P29" s="553" t="b">
        <v>0</v>
      </c>
      <c r="Q29" s="68" t="b">
        <f>IF(OR(AND(O29=FALSE,P29=FALSE),AND(O29=TRUE,P29=TRUE)),FALSE,TRUE)</f>
        <v>0</v>
      </c>
      <c r="S29" s="66"/>
      <c r="T29" s="675"/>
      <c r="V29" s="729" t="s">
        <v>2249</v>
      </c>
      <c r="W29" s="730">
        <v>10201002</v>
      </c>
    </row>
    <row r="30" spans="1:23" s="68" customFormat="1" ht="20.100000000000001" customHeight="1" x14ac:dyDescent="0.25">
      <c r="A30" s="1173" t="s">
        <v>2177</v>
      </c>
      <c r="B30" s="1176" t="s">
        <v>2173</v>
      </c>
      <c r="C30" s="1176"/>
      <c r="D30" s="1176"/>
      <c r="E30" s="744"/>
      <c r="F30" s="1165" t="str">
        <f>IF(AND(P35=TRUE,Q35=TRUE,OR(E33=$T$17,E33=$T$18,E34=$T$17,E34=$T$18,E35=$T$17,E35=$T$18)),"This boiler combination is not supported by this worksheet.  Enter boiler information in 'Miscellaneous Emission Units'.","")</f>
        <v/>
      </c>
      <c r="G30" s="1166"/>
      <c r="K30" s="66"/>
      <c r="L30" s="66"/>
      <c r="S30" s="66"/>
      <c r="T30" s="675"/>
      <c r="V30" s="729" t="s">
        <v>2253</v>
      </c>
      <c r="W30" s="730">
        <v>10300209</v>
      </c>
    </row>
    <row r="31" spans="1:23" s="68" customFormat="1" ht="20.100000000000001" customHeight="1" x14ac:dyDescent="0.25">
      <c r="A31" s="1174"/>
      <c r="B31" s="1177" t="s">
        <v>2183</v>
      </c>
      <c r="C31" s="1177"/>
      <c r="D31" s="1177"/>
      <c r="E31" s="745"/>
      <c r="F31" s="1165"/>
      <c r="G31" s="1166"/>
      <c r="K31" s="66"/>
      <c r="L31" s="66"/>
      <c r="S31" s="66"/>
      <c r="T31" s="675"/>
      <c r="V31" s="729" t="s">
        <v>2264</v>
      </c>
      <c r="W31" s="730">
        <v>10300219</v>
      </c>
    </row>
    <row r="32" spans="1:23" s="68" customFormat="1" ht="20.100000000000001" customHeight="1" x14ac:dyDescent="0.25">
      <c r="A32" s="1174"/>
      <c r="B32" s="1177" t="s">
        <v>2184</v>
      </c>
      <c r="C32" s="1177"/>
      <c r="D32" s="1177"/>
      <c r="E32" s="746"/>
      <c r="F32" s="687" t="s">
        <v>2180</v>
      </c>
      <c r="G32" s="760" t="s">
        <v>2327</v>
      </c>
      <c r="H32" s="760" t="s">
        <v>2328</v>
      </c>
      <c r="K32" s="66"/>
      <c r="L32" s="66"/>
      <c r="S32" s="66"/>
      <c r="T32" s="675"/>
      <c r="V32" s="729" t="s">
        <v>2235</v>
      </c>
      <c r="W32" s="730">
        <v>10300224</v>
      </c>
    </row>
    <row r="33" spans="1:23" s="68" customFormat="1" ht="20.100000000000001" customHeight="1" x14ac:dyDescent="0.25">
      <c r="A33" s="1174"/>
      <c r="B33" s="1177" t="s">
        <v>2185</v>
      </c>
      <c r="C33" s="1177"/>
      <c r="D33" s="1177"/>
      <c r="E33" s="745"/>
      <c r="F33" s="759" t="s">
        <v>2326</v>
      </c>
      <c r="G33" s="785"/>
      <c r="H33" s="786"/>
      <c r="K33" s="66">
        <f ca="1">IFERROR(SUMIF($V$12:$W$47,N33,$W$12:$W$47),"")</f>
        <v>0</v>
      </c>
      <c r="L33" s="66">
        <f>E33</f>
        <v>0</v>
      </c>
      <c r="M33" s="68" t="str">
        <f>IF(OR(ISBLANK($E$32),Q34=FALSE,L33=$T$14,L33=$T$16),"",IF(AND(O34=TRUE,Q34=TRUE),$U$15,IF(AND(OR(L33=$T$17,L33=$T$18),P34=TRUE,Q34=TRUE,P35=TRUE,Q35=TRUE),"Not Supported",IF(AND(OR(L33=$T$17,L33=$T$18),P34=TRUE,Q34=TRUE,O35=TRUE,Q35=TRUE),$U$16,IF($E$32&gt;=100,$U$12,IF($E$32&gt;=10,$U$13,$U$14))))))</f>
        <v/>
      </c>
      <c r="N33" s="68" t="str">
        <f>$N$12&amp;" - "&amp;L33&amp;" - "&amp;M33</f>
        <v xml:space="preserve"> - 0 - </v>
      </c>
      <c r="S33" s="66"/>
      <c r="T33" s="675"/>
      <c r="V33" s="740" t="s">
        <v>2265</v>
      </c>
      <c r="W33" s="730">
        <v>10300229</v>
      </c>
    </row>
    <row r="34" spans="1:23" s="68" customFormat="1" ht="20.100000000000001" customHeight="1" x14ac:dyDescent="0.25">
      <c r="A34" s="1174"/>
      <c r="B34" s="1167" t="s">
        <v>2212</v>
      </c>
      <c r="C34" s="1168"/>
      <c r="D34" s="1169"/>
      <c r="E34" s="747"/>
      <c r="F34" s="721" t="s">
        <v>2247</v>
      </c>
      <c r="G34" s="722" t="s">
        <v>2248</v>
      </c>
      <c r="K34" s="66">
        <f ca="1">IFERROR(SUMIF($V$12:$W$47,N34,$W$12:$W$47),"")</f>
        <v>0</v>
      </c>
      <c r="L34" s="66">
        <f>E34</f>
        <v>0</v>
      </c>
      <c r="M34" s="68" t="str">
        <f>IF(OR(ISBLANK($E$32),Q34=FALSE,L34=$T$14,L34=$T$16),"",IF(AND(O34=TRUE,Q34=TRUE),$U$15,IF(AND(OR(L34=$T$17,L34=$T$18),P34=TRUE,Q34=TRUE,P35=TRUE,Q35=TRUE),"Not Supported",IF(AND(OR(L34=$T$17,L34=$T$18),P34=TRUE,Q34=TRUE,O35=TRUE,Q35=TRUE),$U$16,IF($E$32&gt;=100,$U$12,IF($E$32&gt;=10,$U$13,$U$14))))))</f>
        <v/>
      </c>
      <c r="N34" s="68" t="str">
        <f>$N$12&amp;" - "&amp;L34&amp;" - "&amp;M34</f>
        <v xml:space="preserve"> - 0 - </v>
      </c>
      <c r="O34" s="553" t="b">
        <v>0</v>
      </c>
      <c r="P34" s="553" t="b">
        <v>0</v>
      </c>
      <c r="Q34" s="68" t="b">
        <f>IF(OR(AND(O34=FALSE,P34=FALSE),AND(O34=TRUE,P34=TRUE)),FALSE,TRUE)</f>
        <v>0</v>
      </c>
      <c r="S34" s="66"/>
      <c r="T34" s="675"/>
      <c r="V34" s="729" t="s">
        <v>2236</v>
      </c>
      <c r="W34" s="730">
        <v>10300401</v>
      </c>
    </row>
    <row r="35" spans="1:23" s="68" customFormat="1" ht="20.100000000000001" customHeight="1" thickBot="1" x14ac:dyDescent="0.3">
      <c r="A35" s="1175"/>
      <c r="B35" s="1170"/>
      <c r="C35" s="1171"/>
      <c r="D35" s="1172"/>
      <c r="E35" s="748"/>
      <c r="F35" s="726" t="str">
        <f>IF(Q34=FALSE,"",IF(AND(P34=TRUE,Q34=TRUE,OR(E33=$T$17,E33=$T$18,E34=$T$17,E34=$T$18,E35=$T$17,E35=$T$18)),"Is this a 'spreader stoker' unit?","Skip these boxes and proceed."))</f>
        <v/>
      </c>
      <c r="G35" s="727" t="s">
        <v>2248</v>
      </c>
      <c r="K35" s="66">
        <f ca="1">IFERROR(SUMIF($V$12:$W$47,N35,$W$12:$W$47),"")</f>
        <v>0</v>
      </c>
      <c r="L35" s="66">
        <f>E35</f>
        <v>0</v>
      </c>
      <c r="M35" s="68" t="str">
        <f>IF(OR(ISBLANK($E$32),Q34=FALSE,L35=$T$14,L35=$T$16),"",IF(AND(O34=TRUE,Q34=TRUE),$U$15,IF(AND(OR(L35=$T$17,L35=$T$18),P34=TRUE,Q34=TRUE,P35=TRUE,Q35=TRUE),"Not Supported",IF(AND(OR(L35=$T$17,L35=$T$18),P34=TRUE,Q34=TRUE,O35=TRUE,Q35=TRUE),$U$16,IF($E$32&gt;=100,$U$12,IF($E$32&gt;=10,$U$13,$U$14))))))</f>
        <v/>
      </c>
      <c r="N35" s="68" t="str">
        <f>$N$12&amp;" - "&amp;L35&amp;" - "&amp;M35</f>
        <v xml:space="preserve"> - 0 - </v>
      </c>
      <c r="O35" s="553" t="b">
        <v>0</v>
      </c>
      <c r="P35" s="553" t="b">
        <v>0</v>
      </c>
      <c r="Q35" s="68" t="b">
        <f>IF(OR(AND(O35=FALSE,P35=FALSE),AND(O35=TRUE,P35=TRUE)),FALSE,TRUE)</f>
        <v>0</v>
      </c>
      <c r="S35" s="66"/>
      <c r="T35" s="675"/>
      <c r="V35" s="729" t="s">
        <v>2237</v>
      </c>
      <c r="W35" s="730">
        <v>10300402</v>
      </c>
    </row>
    <row r="36" spans="1:23" s="68" customFormat="1" ht="20.100000000000001" customHeight="1" x14ac:dyDescent="0.25">
      <c r="A36" s="1173" t="s">
        <v>2178</v>
      </c>
      <c r="B36" s="1176" t="s">
        <v>2173</v>
      </c>
      <c r="C36" s="1176"/>
      <c r="D36" s="1176"/>
      <c r="E36" s="744"/>
      <c r="F36" s="1165" t="str">
        <f>IF(AND(P41=TRUE,Q41=TRUE,OR(E39=$T$17,E39=$T$18,E40=$T$17,E40=$T$18,E41=$T$17,E41=$T$18)),"This boiler combination is not supported by this worksheet.  Enter boiler information in 'Miscellaneous Emission Units'.","")</f>
        <v/>
      </c>
      <c r="G36" s="1166"/>
      <c r="K36" s="66"/>
      <c r="L36" s="66"/>
      <c r="S36" s="66"/>
      <c r="T36" s="675"/>
      <c r="V36" s="729" t="s">
        <v>2238</v>
      </c>
      <c r="W36" s="730">
        <v>10300403</v>
      </c>
    </row>
    <row r="37" spans="1:23" s="68" customFormat="1" ht="20.100000000000001" customHeight="1" x14ac:dyDescent="0.25">
      <c r="A37" s="1174"/>
      <c r="B37" s="1177" t="s">
        <v>2183</v>
      </c>
      <c r="C37" s="1177"/>
      <c r="D37" s="1177"/>
      <c r="E37" s="745"/>
      <c r="F37" s="1165"/>
      <c r="G37" s="1166"/>
      <c r="K37" s="66"/>
      <c r="L37" s="66"/>
      <c r="S37" s="66"/>
      <c r="T37" s="675"/>
      <c r="V37" s="729" t="s">
        <v>2267</v>
      </c>
      <c r="W37" s="730">
        <v>10300401</v>
      </c>
    </row>
    <row r="38" spans="1:23" s="68" customFormat="1" ht="20.100000000000001" customHeight="1" x14ac:dyDescent="0.25">
      <c r="A38" s="1174"/>
      <c r="B38" s="1177" t="s">
        <v>2184</v>
      </c>
      <c r="C38" s="1177"/>
      <c r="D38" s="1177"/>
      <c r="E38" s="746"/>
      <c r="F38" s="687" t="s">
        <v>2180</v>
      </c>
      <c r="G38" s="760" t="s">
        <v>2327</v>
      </c>
      <c r="H38" s="760" t="s">
        <v>2328</v>
      </c>
      <c r="K38" s="66"/>
      <c r="L38" s="66"/>
      <c r="S38" s="66"/>
      <c r="T38" s="675"/>
      <c r="V38" s="729" t="s">
        <v>2239</v>
      </c>
      <c r="W38" s="730">
        <v>10300501</v>
      </c>
    </row>
    <row r="39" spans="1:23" s="68" customFormat="1" ht="20.100000000000001" customHeight="1" x14ac:dyDescent="0.25">
      <c r="A39" s="1174"/>
      <c r="B39" s="1177" t="s">
        <v>2185</v>
      </c>
      <c r="C39" s="1177"/>
      <c r="D39" s="1177"/>
      <c r="E39" s="745"/>
      <c r="F39" s="759" t="s">
        <v>2326</v>
      </c>
      <c r="G39" s="785"/>
      <c r="H39" s="786"/>
      <c r="K39" s="66">
        <f ca="1">IFERROR(SUMIF($V$12:$W$47,N39,$W$12:$W$47),"")</f>
        <v>0</v>
      </c>
      <c r="L39" s="66">
        <f>E39</f>
        <v>0</v>
      </c>
      <c r="M39" s="68" t="str">
        <f>IF(OR(ISBLANK($E$38),Q40=FALSE,L39=$T$14,L39=$T$16),"",IF(AND(O40=TRUE,Q40=TRUE),$U$15,IF(AND(OR(L39=$T$17,L39=$T$18),P40=TRUE,Q40=TRUE,P41=TRUE,Q41=TRUE),"Not Supported",IF(AND(OR(L39=$T$17,L39=$T$18),P40=TRUE,Q40=TRUE,O41=TRUE,Q41=TRUE),$U$16,IF($E$38&gt;=100,$U$12,IF($E$38&gt;=10,$U$13,$U$14))))))</f>
        <v/>
      </c>
      <c r="N39" s="68" t="str">
        <f>$N$12&amp;" - "&amp;L39&amp;" - "&amp;M39</f>
        <v xml:space="preserve"> - 0 - </v>
      </c>
      <c r="S39" s="66"/>
      <c r="T39" s="675"/>
      <c r="V39" s="729" t="s">
        <v>2240</v>
      </c>
      <c r="W39" s="730">
        <v>10300502</v>
      </c>
    </row>
    <row r="40" spans="1:23" s="68" customFormat="1" ht="20.100000000000001" customHeight="1" x14ac:dyDescent="0.25">
      <c r="A40" s="1174"/>
      <c r="B40" s="1167" t="s">
        <v>2212</v>
      </c>
      <c r="C40" s="1168"/>
      <c r="D40" s="1169"/>
      <c r="E40" s="747"/>
      <c r="F40" s="721" t="s">
        <v>2247</v>
      </c>
      <c r="G40" s="722" t="s">
        <v>2248</v>
      </c>
      <c r="K40" s="66">
        <f ca="1">IFERROR(SUMIF($V$12:$W$47,N40,$W$12:$W$47),"")</f>
        <v>0</v>
      </c>
      <c r="L40" s="66">
        <f>E40</f>
        <v>0</v>
      </c>
      <c r="M40" s="68" t="str">
        <f>IF(OR(ISBLANK($E$38),Q40=FALSE,L40=$T$14,L40=$T$16),"",IF(AND(O40=TRUE,Q40=TRUE),$U$15,IF(AND(OR(L40=$T$17,L40=$T$18),P40=TRUE,Q40=TRUE,P41=TRUE,Q41=TRUE),"Not Supported",IF(AND(OR(L40=$T$17,L40=$T$18),P40=TRUE,Q40=TRUE,O41=TRUE,Q41=TRUE),$U$16,IF($E$38&gt;=100,$U$12,IF($E$38&gt;=10,$U$13,$U$14))))))</f>
        <v/>
      </c>
      <c r="N40" s="68" t="str">
        <f>$N$12&amp;" - "&amp;L40&amp;" - "&amp;M40</f>
        <v xml:space="preserve"> - 0 - </v>
      </c>
      <c r="O40" s="553" t="b">
        <v>0</v>
      </c>
      <c r="P40" s="553" t="b">
        <v>0</v>
      </c>
      <c r="Q40" s="68" t="b">
        <f>IF(OR(AND(O40=FALSE,P40=FALSE),AND(O40=TRUE,P40=TRUE)),FALSE,TRUE)</f>
        <v>0</v>
      </c>
      <c r="S40" s="66"/>
      <c r="T40" s="675"/>
      <c r="V40" s="729" t="s">
        <v>2241</v>
      </c>
      <c r="W40" s="730">
        <v>10300503</v>
      </c>
    </row>
    <row r="41" spans="1:23" s="709" customFormat="1" ht="20.100000000000001" customHeight="1" thickBot="1" x14ac:dyDescent="0.3">
      <c r="A41" s="1178"/>
      <c r="B41" s="1179"/>
      <c r="C41" s="1180"/>
      <c r="D41" s="1181"/>
      <c r="E41" s="749"/>
      <c r="F41" s="724" t="str">
        <f>IF(Q40=FALSE,"",IF(AND(P40=TRUE,Q40=TRUE,OR(E39=$T$17,E39=$T$18,E40=$T$17,E40=$T$18,E41=$T$17,E41=$T$18)),"Is this a 'spreader stoker' unit?","Skip these boxes and proceed."))</f>
        <v/>
      </c>
      <c r="G41" s="725" t="s">
        <v>2248</v>
      </c>
      <c r="K41" s="711">
        <f ca="1">IFERROR(SUMIF($V$12:$W$47,N41,$W$12:$W$47),"")</f>
        <v>0</v>
      </c>
      <c r="L41" s="711">
        <f>E41</f>
        <v>0</v>
      </c>
      <c r="M41" s="709" t="str">
        <f>IF(OR(ISBLANK($E$38),Q40=FALSE,L41=$T$14,L41=$T$16),"",IF(AND(O40=TRUE,Q40=TRUE),$U$15,IF(AND(OR(L41=$T$17,L41=$T$18),P40=TRUE,Q40=TRUE,P41=TRUE,Q41=TRUE),"Not Supported",IF(AND(OR(L41=$T$17,L41=$T$18),P40=TRUE,Q40=TRUE,O41=TRUE,Q41=TRUE),$U$16,IF($E$38&gt;=100,$U$12,IF($E$38&gt;=10,$U$13,$U$14))))))</f>
        <v/>
      </c>
      <c r="N41" s="709" t="str">
        <f>$N$12&amp;" - "&amp;L41&amp;" - "&amp;M41</f>
        <v xml:space="preserve"> - 0 - </v>
      </c>
      <c r="O41" s="710" t="b">
        <v>0</v>
      </c>
      <c r="P41" s="710" t="b">
        <v>0</v>
      </c>
      <c r="Q41" s="709" t="b">
        <f>IF(OR(AND(O41=FALSE,P41=FALSE),AND(O41=TRUE,P41=TRUE)),FALSE,TRUE)</f>
        <v>0</v>
      </c>
      <c r="S41" s="711"/>
      <c r="T41" s="712"/>
      <c r="V41" s="729" t="str">
        <f>"Commercial/Institutional - #4 Fuel Oil - "</f>
        <v xml:space="preserve">Commercial/Institutional - #4 Fuel Oil - </v>
      </c>
      <c r="W41" s="730">
        <v>10300504</v>
      </c>
    </row>
    <row r="42" spans="1:23" s="707" customFormat="1" ht="20.100000000000001" customHeight="1" thickTop="1" x14ac:dyDescent="0.25">
      <c r="A42" s="1231" t="s">
        <v>2273</v>
      </c>
      <c r="B42" s="1231"/>
      <c r="C42" s="1231"/>
      <c r="D42" s="1231"/>
      <c r="E42" s="1231"/>
      <c r="K42" s="720"/>
      <c r="L42" s="720"/>
      <c r="V42" s="741" t="s">
        <v>2242</v>
      </c>
      <c r="W42" s="742">
        <v>10300505</v>
      </c>
    </row>
    <row r="43" spans="1:23" s="68" customFormat="1" ht="20.100000000000001" customHeight="1" x14ac:dyDescent="0.25">
      <c r="A43" s="1184" t="s">
        <v>2187</v>
      </c>
      <c r="B43" s="1176" t="s">
        <v>2181</v>
      </c>
      <c r="C43" s="1176"/>
      <c r="D43" s="1176"/>
      <c r="E43" s="750"/>
      <c r="F43" s="92" t="s">
        <v>2179</v>
      </c>
      <c r="K43" s="66"/>
      <c r="L43" s="66"/>
      <c r="S43" s="66"/>
      <c r="T43" s="675"/>
      <c r="V43" s="729" t="s">
        <v>2243</v>
      </c>
      <c r="W43" s="730">
        <v>10300601</v>
      </c>
    </row>
    <row r="44" spans="1:23" s="68" customFormat="1" ht="20.100000000000001" customHeight="1" x14ac:dyDescent="0.25">
      <c r="A44" s="1185"/>
      <c r="B44" s="1177" t="s">
        <v>2182</v>
      </c>
      <c r="C44" s="1177"/>
      <c r="D44" s="1177"/>
      <c r="E44" s="751"/>
      <c r="F44" s="92"/>
      <c r="K44" s="66"/>
      <c r="L44" s="66"/>
      <c r="S44" s="66"/>
      <c r="T44" s="675"/>
      <c r="V44" s="729" t="s">
        <v>2244</v>
      </c>
      <c r="W44" s="730">
        <v>10300602</v>
      </c>
    </row>
    <row r="45" spans="1:23" s="709" customFormat="1" ht="20.100000000000001" customHeight="1" thickBot="1" x14ac:dyDescent="0.3">
      <c r="A45" s="1187"/>
      <c r="B45" s="1197" t="s">
        <v>2186</v>
      </c>
      <c r="C45" s="1197"/>
      <c r="D45" s="1197"/>
      <c r="E45" s="749"/>
      <c r="F45" s="708"/>
      <c r="K45" s="711"/>
      <c r="L45" s="711"/>
      <c r="S45" s="711"/>
      <c r="T45" s="712"/>
      <c r="V45" s="729" t="s">
        <v>2245</v>
      </c>
      <c r="W45" s="730">
        <v>10300603</v>
      </c>
    </row>
    <row r="46" spans="1:23" s="707" customFormat="1" ht="35.1" customHeight="1" thickTop="1" x14ac:dyDescent="0.25">
      <c r="A46" s="1231" t="s">
        <v>2275</v>
      </c>
      <c r="B46" s="1231"/>
      <c r="C46" s="1231"/>
      <c r="D46" s="1231"/>
      <c r="E46" s="1231"/>
      <c r="K46" s="720"/>
      <c r="L46" s="720"/>
      <c r="V46" s="741" t="s">
        <v>2246</v>
      </c>
      <c r="W46" s="742">
        <v>10300604</v>
      </c>
    </row>
    <row r="47" spans="1:23" s="689" customFormat="1" ht="20.100000000000001" customHeight="1" thickBot="1" x14ac:dyDescent="0.3">
      <c r="A47" s="1184" t="s">
        <v>2188</v>
      </c>
      <c r="B47" s="1176" t="s">
        <v>2190</v>
      </c>
      <c r="C47" s="1176"/>
      <c r="D47" s="1176"/>
      <c r="E47" s="744"/>
      <c r="F47" s="692"/>
      <c r="K47" s="690"/>
      <c r="L47" s="690"/>
      <c r="S47" s="690"/>
      <c r="T47" s="691"/>
      <c r="V47" s="731" t="str">
        <f>"Commercial/Institutional - LPG (Propane) - "</f>
        <v xml:space="preserve">Commercial/Institutional - LPG (Propane) - </v>
      </c>
      <c r="W47" s="732">
        <v>10301002</v>
      </c>
    </row>
    <row r="48" spans="1:23" s="68" customFormat="1" ht="20.100000000000001" customHeight="1" x14ac:dyDescent="0.25">
      <c r="A48" s="1185"/>
      <c r="B48" s="1177" t="s">
        <v>2191</v>
      </c>
      <c r="C48" s="1177"/>
      <c r="D48" s="1177"/>
      <c r="E48" s="745"/>
      <c r="F48" s="687"/>
      <c r="K48" s="66"/>
      <c r="L48" s="66"/>
      <c r="S48" s="66"/>
      <c r="T48" s="675"/>
      <c r="V48" s="686"/>
      <c r="W48" s="66"/>
    </row>
    <row r="49" spans="1:23" s="68" customFormat="1" ht="20.100000000000001" customHeight="1" x14ac:dyDescent="0.25">
      <c r="A49" s="1185"/>
      <c r="B49" s="1177" t="s">
        <v>2192</v>
      </c>
      <c r="C49" s="1177"/>
      <c r="D49" s="1177"/>
      <c r="E49" s="746"/>
      <c r="F49" s="687" t="s">
        <v>2180</v>
      </c>
      <c r="K49" s="66"/>
      <c r="L49" s="66"/>
      <c r="S49" s="66"/>
      <c r="T49" s="675"/>
    </row>
    <row r="50" spans="1:23" s="68" customFormat="1" ht="20.100000000000001" customHeight="1" x14ac:dyDescent="0.25">
      <c r="A50" s="1185"/>
      <c r="B50" s="1177" t="s">
        <v>2211</v>
      </c>
      <c r="C50" s="1177"/>
      <c r="D50" s="1177"/>
      <c r="E50" s="745"/>
      <c r="F50" s="693"/>
      <c r="K50" s="66">
        <f ca="1">IFERROR(SUMIF($Y$12:$Z$15,N50,$Z$12:$Z$15),"")</f>
        <v>0</v>
      </c>
      <c r="L50" s="66"/>
      <c r="M50" s="68" t="str">
        <f>IF(OR(ISBLANK($E$49),ISBLANK(E50)),"",E50)</f>
        <v/>
      </c>
      <c r="N50" s="68" t="str">
        <f>$N$12&amp;" - "&amp;M50</f>
        <v xml:space="preserve"> - </v>
      </c>
      <c r="S50" s="66"/>
      <c r="T50" s="675"/>
    </row>
    <row r="51" spans="1:23" s="68" customFormat="1" ht="20.100000000000001" customHeight="1" thickBot="1" x14ac:dyDescent="0.3">
      <c r="A51" s="1186"/>
      <c r="B51" s="1198" t="s">
        <v>2213</v>
      </c>
      <c r="C51" s="1198"/>
      <c r="D51" s="1198"/>
      <c r="E51" s="748"/>
      <c r="F51" s="693"/>
      <c r="K51" s="66">
        <f ca="1">IFERROR(SUMIF($Y$12:$Z$15,N51,$Z$12:$Z$15),"")</f>
        <v>0</v>
      </c>
      <c r="L51" s="66"/>
      <c r="M51" s="68" t="str">
        <f>IF(OR(ISBLANK($E$49),ISBLANK(E51)),"",E51)</f>
        <v/>
      </c>
      <c r="N51" s="68" t="str">
        <f>$N$12&amp;" - "&amp;M51</f>
        <v xml:space="preserve"> - </v>
      </c>
      <c r="S51" s="66"/>
      <c r="T51" s="675"/>
    </row>
    <row r="52" spans="1:23" s="68" customFormat="1" ht="20.100000000000001" customHeight="1" x14ac:dyDescent="0.25">
      <c r="A52" s="1196" t="s">
        <v>2189</v>
      </c>
      <c r="B52" s="1176" t="s">
        <v>2190</v>
      </c>
      <c r="C52" s="1176"/>
      <c r="D52" s="1176"/>
      <c r="E52" s="744"/>
      <c r="F52" s="687"/>
      <c r="K52" s="66"/>
      <c r="L52" s="66"/>
      <c r="S52" s="66"/>
      <c r="T52" s="675"/>
    </row>
    <row r="53" spans="1:23" s="68" customFormat="1" ht="20.100000000000001" customHeight="1" x14ac:dyDescent="0.25">
      <c r="A53" s="1185"/>
      <c r="B53" s="1177" t="s">
        <v>2191</v>
      </c>
      <c r="C53" s="1177"/>
      <c r="D53" s="1177"/>
      <c r="E53" s="745"/>
      <c r="F53" s="687"/>
      <c r="K53" s="66"/>
      <c r="L53" s="66"/>
      <c r="S53" s="66"/>
      <c r="T53" s="675"/>
    </row>
    <row r="54" spans="1:23" s="68" customFormat="1" ht="20.100000000000001" customHeight="1" x14ac:dyDescent="0.25">
      <c r="A54" s="1185"/>
      <c r="B54" s="1177" t="s">
        <v>2192</v>
      </c>
      <c r="C54" s="1177"/>
      <c r="D54" s="1177"/>
      <c r="E54" s="746"/>
      <c r="F54" s="687" t="s">
        <v>2180</v>
      </c>
      <c r="K54" s="66"/>
      <c r="L54" s="66"/>
      <c r="S54" s="66"/>
      <c r="T54" s="675"/>
    </row>
    <row r="55" spans="1:23" s="68" customFormat="1" ht="20.100000000000001" customHeight="1" x14ac:dyDescent="0.25">
      <c r="A55" s="1185"/>
      <c r="B55" s="1177" t="s">
        <v>2211</v>
      </c>
      <c r="C55" s="1177"/>
      <c r="D55" s="1177"/>
      <c r="E55" s="745"/>
      <c r="F55" s="693"/>
      <c r="K55" s="66">
        <f ca="1">IFERROR(SUMIF($Y$12:$Z$15,N55,$Z$12:$Z$15),"")</f>
        <v>0</v>
      </c>
      <c r="L55" s="66"/>
      <c r="M55" s="68" t="str">
        <f>IF(OR(ISBLANK($E$54),ISBLANK(E55)),"",E55)</f>
        <v/>
      </c>
      <c r="N55" s="68" t="str">
        <f>$N$12&amp;" - "&amp;M55</f>
        <v xml:space="preserve"> - </v>
      </c>
      <c r="S55" s="66"/>
      <c r="T55" s="675"/>
    </row>
    <row r="56" spans="1:23" s="68" customFormat="1" ht="20.100000000000001" customHeight="1" thickBot="1" x14ac:dyDescent="0.3">
      <c r="A56" s="1186"/>
      <c r="B56" s="1160" t="s">
        <v>2213</v>
      </c>
      <c r="C56" s="1161"/>
      <c r="D56" s="1161"/>
      <c r="E56" s="752"/>
      <c r="F56" s="693"/>
      <c r="K56" s="66">
        <f ca="1">IFERROR(SUMIF($Y$12:$Z$15,N56,$Z$12:$Z$15),"")</f>
        <v>0</v>
      </c>
      <c r="L56" s="66"/>
      <c r="M56" s="68" t="str">
        <f>IF(OR(ISBLANK($E$54),ISBLANK(E56)),"",E56)</f>
        <v/>
      </c>
      <c r="N56" s="68" t="str">
        <f>$N$12&amp;" - "&amp;M56</f>
        <v xml:space="preserve"> - </v>
      </c>
      <c r="S56" s="66"/>
      <c r="T56" s="675"/>
    </row>
    <row r="57" spans="1:23" s="68" customFormat="1" ht="20.100000000000001" customHeight="1" x14ac:dyDescent="0.25">
      <c r="A57" s="1185" t="s">
        <v>2271</v>
      </c>
      <c r="B57" s="1177" t="s">
        <v>2190</v>
      </c>
      <c r="C57" s="1177"/>
      <c r="D57" s="1177"/>
      <c r="E57" s="753"/>
      <c r="F57" s="687"/>
      <c r="K57" s="66"/>
      <c r="L57" s="66"/>
      <c r="S57" s="66"/>
      <c r="T57" s="675"/>
      <c r="V57" s="686"/>
      <c r="W57" s="66"/>
    </row>
    <row r="58" spans="1:23" s="68" customFormat="1" ht="20.100000000000001" customHeight="1" x14ac:dyDescent="0.25">
      <c r="A58" s="1185"/>
      <c r="B58" s="1177" t="s">
        <v>2191</v>
      </c>
      <c r="C58" s="1177"/>
      <c r="D58" s="1177"/>
      <c r="E58" s="745"/>
      <c r="F58" s="687"/>
      <c r="K58" s="66"/>
      <c r="L58" s="66"/>
      <c r="S58" s="66"/>
      <c r="T58" s="675"/>
      <c r="V58" s="686"/>
      <c r="W58" s="66"/>
    </row>
    <row r="59" spans="1:23" s="68" customFormat="1" ht="20.100000000000001" customHeight="1" x14ac:dyDescent="0.25">
      <c r="A59" s="1185"/>
      <c r="B59" s="1177" t="s">
        <v>2192</v>
      </c>
      <c r="C59" s="1177"/>
      <c r="D59" s="1177"/>
      <c r="E59" s="746"/>
      <c r="F59" s="687" t="s">
        <v>2180</v>
      </c>
      <c r="K59" s="66"/>
      <c r="L59" s="66"/>
      <c r="S59" s="66"/>
      <c r="T59" s="675"/>
      <c r="V59" s="686"/>
      <c r="W59" s="66"/>
    </row>
    <row r="60" spans="1:23" s="68" customFormat="1" ht="20.100000000000001" customHeight="1" x14ac:dyDescent="0.25">
      <c r="A60" s="1185"/>
      <c r="B60" s="1177" t="s">
        <v>2211</v>
      </c>
      <c r="C60" s="1177"/>
      <c r="D60" s="1177"/>
      <c r="E60" s="745"/>
      <c r="F60" s="693"/>
      <c r="K60" s="66">
        <f ca="1">IFERROR(SUMIF($Y$12:$Z$15,N60,$Z$12:$Z$15),"")</f>
        <v>0</v>
      </c>
      <c r="L60" s="66"/>
      <c r="M60" s="68" t="str">
        <f>IF(OR(ISBLANK($E$59),ISBLANK(E60)),"",E60)</f>
        <v/>
      </c>
      <c r="N60" s="68" t="str">
        <f>$N$12&amp;" - "&amp;M60</f>
        <v xml:space="preserve"> - </v>
      </c>
      <c r="S60" s="66"/>
      <c r="T60" s="675"/>
      <c r="V60" s="686"/>
      <c r="W60" s="66"/>
    </row>
    <row r="61" spans="1:23" s="709" customFormat="1" ht="20.100000000000001" customHeight="1" thickBot="1" x14ac:dyDescent="0.3">
      <c r="A61" s="1187"/>
      <c r="B61" s="1197" t="s">
        <v>2213</v>
      </c>
      <c r="C61" s="1197"/>
      <c r="D61" s="1197"/>
      <c r="E61" s="749"/>
      <c r="F61" s="713"/>
      <c r="K61" s="711">
        <f ca="1">IFERROR(SUMIF($Y$12:$Z$15,N61,$Z$12:$Z$15),"")</f>
        <v>0</v>
      </c>
      <c r="L61" s="711"/>
      <c r="M61" s="709" t="str">
        <f>IF(OR(ISBLANK($E$59),ISBLANK(E61)),"",E61)</f>
        <v/>
      </c>
      <c r="N61" s="709" t="str">
        <f>$N$12&amp;" - "&amp;M61</f>
        <v xml:space="preserve"> - </v>
      </c>
      <c r="S61" s="711"/>
      <c r="T61" s="712"/>
      <c r="V61" s="728"/>
      <c r="W61" s="711"/>
    </row>
    <row r="62" spans="1:23" s="707" customFormat="1" ht="35.1" customHeight="1" thickTop="1" x14ac:dyDescent="0.25">
      <c r="A62" s="1231" t="s">
        <v>2272</v>
      </c>
      <c r="B62" s="1231"/>
      <c r="C62" s="1231"/>
      <c r="D62" s="1231"/>
      <c r="E62" s="1231"/>
      <c r="K62" s="720"/>
      <c r="L62" s="720"/>
      <c r="W62" s="720"/>
    </row>
    <row r="63" spans="1:23" s="689" customFormat="1" ht="20.100000000000001" customHeight="1" x14ac:dyDescent="0.25">
      <c r="A63" s="1184" t="s">
        <v>2193</v>
      </c>
      <c r="B63" s="1182" t="s">
        <v>2268</v>
      </c>
      <c r="C63" s="1176"/>
      <c r="D63" s="1183"/>
      <c r="E63" s="744"/>
      <c r="F63" s="703"/>
      <c r="G63" s="704"/>
      <c r="K63" s="690"/>
      <c r="L63" s="690"/>
      <c r="S63" s="690"/>
      <c r="T63" s="691"/>
      <c r="V63" s="690"/>
      <c r="W63" s="690"/>
    </row>
    <row r="64" spans="1:23" s="68" customFormat="1" ht="20.100000000000001" customHeight="1" x14ac:dyDescent="0.25">
      <c r="A64" s="1185"/>
      <c r="B64" s="1190" t="s">
        <v>2210</v>
      </c>
      <c r="C64" s="1191"/>
      <c r="D64" s="1192"/>
      <c r="E64" s="745"/>
      <c r="F64" s="705"/>
      <c r="G64" s="547"/>
      <c r="K64" s="66"/>
      <c r="L64" s="66"/>
      <c r="S64" s="66"/>
      <c r="T64" s="675"/>
      <c r="V64" s="66"/>
      <c r="W64" s="66"/>
    </row>
    <row r="65" spans="1:23" s="68" customFormat="1" ht="20.100000000000001" customHeight="1" x14ac:dyDescent="0.25">
      <c r="A65" s="1185"/>
      <c r="B65" s="1190" t="s">
        <v>2198</v>
      </c>
      <c r="C65" s="1191"/>
      <c r="D65" s="1192"/>
      <c r="E65" s="745"/>
      <c r="F65" s="687"/>
      <c r="K65" s="66"/>
      <c r="L65" s="66"/>
      <c r="S65" s="66"/>
      <c r="T65" s="675"/>
      <c r="V65" s="66"/>
      <c r="W65" s="66"/>
    </row>
    <row r="66" spans="1:23" s="68" customFormat="1" ht="20.100000000000001" customHeight="1" thickBot="1" x14ac:dyDescent="0.3">
      <c r="A66" s="1186"/>
      <c r="B66" s="1160" t="s">
        <v>2269</v>
      </c>
      <c r="C66" s="1161"/>
      <c r="D66" s="1162"/>
      <c r="E66" s="754"/>
      <c r="F66" s="687" t="str">
        <f>IF(OR(E64=$R$3,E64=$R$4,E64=$R$5),"gallons/hour",IF(OR(E64=$R$6,E64=$R$7),"cubic feet/hour",""))</f>
        <v/>
      </c>
      <c r="K66" s="66"/>
      <c r="L66" s="66"/>
      <c r="S66" s="66"/>
      <c r="T66" s="675"/>
      <c r="V66" s="66"/>
      <c r="W66" s="66"/>
    </row>
    <row r="67" spans="1:23" s="68" customFormat="1" ht="20.100000000000001" customHeight="1" x14ac:dyDescent="0.25">
      <c r="A67" s="1184" t="s">
        <v>2194</v>
      </c>
      <c r="B67" s="1182" t="s">
        <v>2268</v>
      </c>
      <c r="C67" s="1176"/>
      <c r="D67" s="1183"/>
      <c r="E67" s="744"/>
      <c r="F67" s="705"/>
      <c r="G67" s="547"/>
      <c r="K67" s="66"/>
      <c r="L67" s="66"/>
      <c r="S67" s="66"/>
      <c r="T67" s="675"/>
      <c r="V67" s="66"/>
      <c r="W67" s="66"/>
    </row>
    <row r="68" spans="1:23" s="68" customFormat="1" ht="20.100000000000001" customHeight="1" x14ac:dyDescent="0.25">
      <c r="A68" s="1185"/>
      <c r="B68" s="1190" t="s">
        <v>2210</v>
      </c>
      <c r="C68" s="1191"/>
      <c r="D68" s="1192"/>
      <c r="E68" s="745"/>
      <c r="F68" s="705"/>
      <c r="G68" s="547"/>
      <c r="K68" s="66"/>
      <c r="L68" s="66"/>
      <c r="S68" s="66"/>
      <c r="T68" s="675"/>
      <c r="V68" s="66"/>
      <c r="W68" s="66"/>
    </row>
    <row r="69" spans="1:23" s="68" customFormat="1" ht="20.100000000000001" customHeight="1" x14ac:dyDescent="0.25">
      <c r="A69" s="1185"/>
      <c r="B69" s="1190" t="s">
        <v>2198</v>
      </c>
      <c r="C69" s="1191"/>
      <c r="D69" s="1192"/>
      <c r="E69" s="745"/>
      <c r="F69" s="687"/>
      <c r="K69" s="66"/>
      <c r="L69" s="66"/>
      <c r="S69" s="66"/>
      <c r="T69" s="675"/>
      <c r="V69" s="66"/>
      <c r="W69" s="66"/>
    </row>
    <row r="70" spans="1:23" s="68" customFormat="1" ht="20.100000000000001" customHeight="1" thickBot="1" x14ac:dyDescent="0.3">
      <c r="A70" s="1186"/>
      <c r="B70" s="1160" t="s">
        <v>2269</v>
      </c>
      <c r="C70" s="1161"/>
      <c r="D70" s="1162"/>
      <c r="E70" s="754"/>
      <c r="F70" s="687" t="str">
        <f>IF(OR(E68=$R$3,E68=$R$4,E68=$R$5),"gallons/hour",IF(OR(E68=$R$6,E68=$R$7),"cubic feet/hour",""))</f>
        <v/>
      </c>
      <c r="K70" s="66"/>
      <c r="L70" s="66"/>
      <c r="S70" s="66"/>
      <c r="T70" s="675"/>
      <c r="V70" s="66"/>
      <c r="W70" s="66"/>
    </row>
    <row r="71" spans="1:23" s="68" customFormat="1" ht="20.100000000000001" customHeight="1" x14ac:dyDescent="0.25">
      <c r="A71" s="1184" t="s">
        <v>2195</v>
      </c>
      <c r="B71" s="1182" t="s">
        <v>2268</v>
      </c>
      <c r="C71" s="1176"/>
      <c r="D71" s="1183"/>
      <c r="E71" s="744"/>
      <c r="F71" s="705"/>
      <c r="G71" s="547"/>
      <c r="K71" s="66"/>
      <c r="L71" s="66"/>
      <c r="S71" s="66"/>
      <c r="T71" s="675"/>
      <c r="V71" s="66"/>
      <c r="W71" s="66"/>
    </row>
    <row r="72" spans="1:23" s="68" customFormat="1" ht="20.100000000000001" customHeight="1" x14ac:dyDescent="0.25">
      <c r="A72" s="1185"/>
      <c r="B72" s="1190" t="s">
        <v>2210</v>
      </c>
      <c r="C72" s="1191"/>
      <c r="D72" s="1192"/>
      <c r="E72" s="745"/>
      <c r="F72" s="705"/>
      <c r="G72" s="547"/>
      <c r="K72" s="66"/>
      <c r="L72" s="66"/>
      <c r="S72" s="66"/>
      <c r="T72" s="675"/>
      <c r="V72" s="66"/>
      <c r="W72" s="66"/>
    </row>
    <row r="73" spans="1:23" s="68" customFormat="1" ht="20.100000000000001" customHeight="1" x14ac:dyDescent="0.25">
      <c r="A73" s="1185"/>
      <c r="B73" s="1190" t="s">
        <v>2198</v>
      </c>
      <c r="C73" s="1191"/>
      <c r="D73" s="1192"/>
      <c r="E73" s="745"/>
      <c r="F73" s="687"/>
      <c r="K73" s="66"/>
      <c r="L73" s="66"/>
      <c r="S73" s="66"/>
      <c r="T73" s="675"/>
      <c r="V73" s="66"/>
      <c r="W73" s="66"/>
    </row>
    <row r="74" spans="1:23" s="68" customFormat="1" ht="20.100000000000001" customHeight="1" thickBot="1" x14ac:dyDescent="0.3">
      <c r="A74" s="1186"/>
      <c r="B74" s="1160" t="s">
        <v>2269</v>
      </c>
      <c r="C74" s="1161"/>
      <c r="D74" s="1162"/>
      <c r="E74" s="754"/>
      <c r="F74" s="687" t="str">
        <f>IF(OR(E72=$R$3,E72=$R$4,E72=$R$5),"gallons/hour",IF(OR(E72=$R$6,E72=$R$7),"cubic feet/hour",""))</f>
        <v/>
      </c>
      <c r="K74" s="66"/>
      <c r="L74" s="66"/>
      <c r="S74" s="66"/>
      <c r="T74" s="675"/>
      <c r="V74" s="66"/>
      <c r="W74" s="66"/>
    </row>
    <row r="75" spans="1:23" s="68" customFormat="1" ht="20.100000000000001" customHeight="1" x14ac:dyDescent="0.25">
      <c r="A75" s="1184" t="s">
        <v>2196</v>
      </c>
      <c r="B75" s="1182" t="s">
        <v>2268</v>
      </c>
      <c r="C75" s="1176"/>
      <c r="D75" s="1183"/>
      <c r="E75" s="744"/>
      <c r="F75" s="705"/>
      <c r="G75" s="547"/>
      <c r="K75" s="66"/>
      <c r="L75" s="66"/>
      <c r="S75" s="66"/>
      <c r="T75" s="675"/>
      <c r="V75" s="66"/>
      <c r="W75" s="66"/>
    </row>
    <row r="76" spans="1:23" s="68" customFormat="1" ht="20.100000000000001" customHeight="1" x14ac:dyDescent="0.25">
      <c r="A76" s="1185"/>
      <c r="B76" s="1190" t="s">
        <v>2210</v>
      </c>
      <c r="C76" s="1191"/>
      <c r="D76" s="1192"/>
      <c r="E76" s="745"/>
      <c r="F76" s="705"/>
      <c r="G76" s="547"/>
      <c r="K76" s="66"/>
      <c r="L76" s="66"/>
      <c r="S76" s="66"/>
      <c r="T76" s="675"/>
      <c r="V76" s="66"/>
      <c r="W76" s="66"/>
    </row>
    <row r="77" spans="1:23" s="68" customFormat="1" ht="20.100000000000001" customHeight="1" x14ac:dyDescent="0.25">
      <c r="A77" s="1185"/>
      <c r="B77" s="1190" t="s">
        <v>2198</v>
      </c>
      <c r="C77" s="1191"/>
      <c r="D77" s="1192"/>
      <c r="E77" s="825"/>
      <c r="F77" s="687"/>
      <c r="K77" s="66"/>
      <c r="L77" s="66"/>
      <c r="S77" s="66"/>
      <c r="T77" s="675"/>
      <c r="V77" s="66"/>
      <c r="W77" s="66"/>
    </row>
    <row r="78" spans="1:23" s="68" customFormat="1" ht="20.100000000000001" customHeight="1" thickBot="1" x14ac:dyDescent="0.3">
      <c r="A78" s="1186"/>
      <c r="B78" s="1160" t="s">
        <v>2269</v>
      </c>
      <c r="C78" s="1161"/>
      <c r="D78" s="1162"/>
      <c r="E78" s="754"/>
      <c r="F78" s="687" t="str">
        <f>IF(OR(E76=$R$3,E76=$R$4,E76=$R$5),"gallons/hour",IF(OR(E76=$R$6,E76=$R$7),"cubic feet/hour",""))</f>
        <v/>
      </c>
      <c r="K78" s="66"/>
      <c r="L78" s="66"/>
      <c r="S78" s="66"/>
      <c r="T78" s="675"/>
      <c r="V78" s="66"/>
      <c r="W78" s="66"/>
    </row>
    <row r="79" spans="1:23" s="68" customFormat="1" ht="20.100000000000001" customHeight="1" x14ac:dyDescent="0.25">
      <c r="A79" s="1185" t="s">
        <v>2197</v>
      </c>
      <c r="B79" s="1188" t="s">
        <v>2268</v>
      </c>
      <c r="C79" s="1177"/>
      <c r="D79" s="1189"/>
      <c r="E79" s="753"/>
      <c r="F79" s="705"/>
      <c r="G79" s="547"/>
      <c r="K79" s="66"/>
      <c r="L79" s="66"/>
      <c r="S79" s="66"/>
      <c r="T79" s="675"/>
      <c r="V79" s="66"/>
      <c r="W79" s="66"/>
    </row>
    <row r="80" spans="1:23" s="68" customFormat="1" ht="20.100000000000001" customHeight="1" x14ac:dyDescent="0.25">
      <c r="A80" s="1185"/>
      <c r="B80" s="1190" t="s">
        <v>2210</v>
      </c>
      <c r="C80" s="1191"/>
      <c r="D80" s="1192"/>
      <c r="E80" s="745"/>
      <c r="F80" s="705"/>
      <c r="G80" s="547"/>
      <c r="K80" s="66"/>
      <c r="L80" s="66"/>
      <c r="S80" s="66"/>
      <c r="T80" s="675"/>
      <c r="V80" s="66"/>
      <c r="W80" s="66"/>
    </row>
    <row r="81" spans="1:23" s="68" customFormat="1" ht="20.100000000000001" customHeight="1" x14ac:dyDescent="0.25">
      <c r="A81" s="1185"/>
      <c r="B81" s="1190" t="s">
        <v>2198</v>
      </c>
      <c r="C81" s="1191"/>
      <c r="D81" s="1192"/>
      <c r="E81" s="825"/>
      <c r="F81" s="687"/>
      <c r="K81" s="66"/>
      <c r="L81" s="66"/>
      <c r="S81" s="66"/>
      <c r="T81" s="675"/>
      <c r="V81" s="66"/>
      <c r="W81" s="66"/>
    </row>
    <row r="82" spans="1:23" s="709" customFormat="1" ht="20.100000000000001" customHeight="1" thickBot="1" x14ac:dyDescent="0.3">
      <c r="A82" s="1187"/>
      <c r="B82" s="1193" t="s">
        <v>2269</v>
      </c>
      <c r="C82" s="1194"/>
      <c r="D82" s="1195"/>
      <c r="E82" s="755"/>
      <c r="F82" s="714" t="str">
        <f>IF(OR(E80=$R$3,E80=$R$4,E80=$R$5),"gallons/hour",IF(OR(E80=$R$6,E80=$R$7),"cubic feet/hour",""))</f>
        <v/>
      </c>
      <c r="K82" s="711"/>
      <c r="L82" s="711"/>
      <c r="S82" s="711"/>
      <c r="T82" s="712"/>
      <c r="V82" s="711"/>
      <c r="W82" s="711"/>
    </row>
    <row r="83" spans="1:23" s="709" customFormat="1" ht="14.1" customHeight="1" thickTop="1" thickBot="1" x14ac:dyDescent="0.3">
      <c r="A83" s="715"/>
      <c r="B83" s="715"/>
      <c r="C83" s="715"/>
      <c r="D83" s="715"/>
      <c r="E83" s="715"/>
      <c r="I83" s="711"/>
      <c r="J83" s="711"/>
      <c r="U83" s="711"/>
    </row>
    <row r="84" spans="1:23" s="716" customFormat="1" ht="20.100000000000001" customHeight="1" thickTop="1" thickBot="1" x14ac:dyDescent="0.3">
      <c r="A84" s="1234" t="s">
        <v>2000</v>
      </c>
      <c r="B84" s="1235"/>
      <c r="C84" s="1235"/>
      <c r="D84" s="1235"/>
      <c r="E84" s="1235"/>
      <c r="F84" s="1235"/>
      <c r="G84" s="1235"/>
      <c r="H84" s="1235"/>
      <c r="I84" s="1235"/>
      <c r="J84" s="1235"/>
      <c r="K84" s="1235"/>
      <c r="L84" s="1235"/>
      <c r="M84" s="1235"/>
      <c r="N84" s="1235"/>
      <c r="O84" s="1235"/>
      <c r="U84" s="718"/>
    </row>
    <row r="85" spans="1:23" s="68" customFormat="1" ht="135" customHeight="1" thickTop="1" thickBot="1" x14ac:dyDescent="0.3">
      <c r="A85" s="1210" t="s">
        <v>2347</v>
      </c>
      <c r="B85" s="1210"/>
      <c r="C85" s="1210"/>
      <c r="D85" s="1210"/>
      <c r="E85" s="1210"/>
      <c r="I85" s="66"/>
      <c r="J85" s="66"/>
      <c r="U85" s="66"/>
    </row>
    <row r="86" spans="1:23" s="68" customFormat="1" ht="18" customHeight="1" thickBot="1" x14ac:dyDescent="0.3">
      <c r="A86" s="1221" t="s">
        <v>264</v>
      </c>
      <c r="B86" s="1222"/>
      <c r="C86" s="1223" t="s">
        <v>269</v>
      </c>
      <c r="D86" s="1225" t="s">
        <v>267</v>
      </c>
      <c r="E86" s="1225" t="s">
        <v>268</v>
      </c>
      <c r="I86" s="66"/>
      <c r="J86" s="66"/>
      <c r="U86" s="66"/>
    </row>
    <row r="87" spans="1:23" s="68" customFormat="1" ht="18" customHeight="1" thickBot="1" x14ac:dyDescent="0.3">
      <c r="A87" s="676" t="s">
        <v>265</v>
      </c>
      <c r="B87" s="99" t="s">
        <v>266</v>
      </c>
      <c r="C87" s="1224"/>
      <c r="D87" s="1226"/>
      <c r="E87" s="1226"/>
      <c r="I87" s="66"/>
      <c r="J87" s="66"/>
      <c r="U87" s="66"/>
    </row>
    <row r="88" spans="1:23" s="78" customFormat="1" ht="18" customHeight="1" x14ac:dyDescent="0.25">
      <c r="A88" s="1207" t="s">
        <v>1886</v>
      </c>
      <c r="B88" s="1208"/>
      <c r="C88" s="1208"/>
      <c r="D88" s="1208"/>
      <c r="E88" s="1209"/>
      <c r="I88" s="547"/>
      <c r="J88" s="547"/>
      <c r="U88" s="547"/>
    </row>
    <row r="89" spans="1:23" s="78" customFormat="1" ht="18" customHeight="1" x14ac:dyDescent="0.25">
      <c r="A89" s="247">
        <v>17</v>
      </c>
      <c r="B89" s="247">
        <v>1</v>
      </c>
      <c r="C89" s="248">
        <v>20100102</v>
      </c>
      <c r="D89" s="551" t="s">
        <v>2002</v>
      </c>
      <c r="E89" s="551" t="s">
        <v>2001</v>
      </c>
      <c r="I89" s="547"/>
      <c r="J89" s="547"/>
      <c r="U89" s="547"/>
    </row>
    <row r="90" spans="1:23" s="249" customFormat="1" ht="18" customHeight="1" x14ac:dyDescent="0.25">
      <c r="A90" s="247">
        <v>18</v>
      </c>
      <c r="B90" s="247">
        <v>1</v>
      </c>
      <c r="C90" s="248">
        <v>10200602</v>
      </c>
      <c r="D90" s="551" t="s">
        <v>2003</v>
      </c>
      <c r="E90" s="551" t="s">
        <v>1409</v>
      </c>
      <c r="F90" s="78"/>
      <c r="G90" s="78"/>
      <c r="H90" s="78"/>
      <c r="I90" s="547"/>
      <c r="J90" s="547"/>
      <c r="K90" s="78"/>
      <c r="U90" s="548"/>
    </row>
    <row r="91" spans="1:23" s="249" customFormat="1" ht="18" customHeight="1" x14ac:dyDescent="0.25">
      <c r="A91" s="247">
        <v>18</v>
      </c>
      <c r="B91" s="247">
        <v>2</v>
      </c>
      <c r="C91" s="248">
        <v>10200501</v>
      </c>
      <c r="D91" s="551" t="s">
        <v>2003</v>
      </c>
      <c r="E91" s="551" t="s">
        <v>2004</v>
      </c>
      <c r="I91" s="548"/>
      <c r="J91" s="548"/>
      <c r="R91" s="548"/>
      <c r="U91" s="548"/>
    </row>
    <row r="92" spans="1:23" s="249" customFormat="1" ht="18" customHeight="1" x14ac:dyDescent="0.25">
      <c r="A92" s="247">
        <v>19</v>
      </c>
      <c r="B92" s="247">
        <v>1</v>
      </c>
      <c r="C92" s="248">
        <v>40400204</v>
      </c>
      <c r="D92" s="551" t="s">
        <v>2007</v>
      </c>
      <c r="E92" s="551" t="s">
        <v>2005</v>
      </c>
      <c r="I92" s="548"/>
      <c r="J92" s="548"/>
      <c r="R92" s="548"/>
      <c r="U92" s="548"/>
    </row>
    <row r="93" spans="1:23" s="249" customFormat="1" ht="18" customHeight="1" x14ac:dyDescent="0.25">
      <c r="A93" s="247">
        <v>19</v>
      </c>
      <c r="B93" s="247">
        <v>2</v>
      </c>
      <c r="C93" s="248">
        <v>40400107</v>
      </c>
      <c r="D93" s="551" t="s">
        <v>2007</v>
      </c>
      <c r="E93" s="551" t="s">
        <v>2006</v>
      </c>
      <c r="I93" s="548"/>
      <c r="J93" s="548"/>
      <c r="R93" s="548"/>
      <c r="U93" s="548"/>
    </row>
    <row r="94" spans="1:23" s="78" customFormat="1" ht="18" customHeight="1" x14ac:dyDescent="0.25">
      <c r="A94" s="247"/>
      <c r="B94" s="247"/>
      <c r="C94" s="248"/>
      <c r="D94" s="551"/>
      <c r="E94" s="551"/>
      <c r="I94" s="547"/>
      <c r="J94" s="547"/>
      <c r="R94" s="547"/>
      <c r="U94" s="547"/>
    </row>
    <row r="95" spans="1:23" s="68" customFormat="1" ht="35.1" customHeight="1" thickBot="1" x14ac:dyDescent="0.3">
      <c r="A95" s="1212" t="s">
        <v>1827</v>
      </c>
      <c r="B95" s="1212"/>
      <c r="C95" s="1212"/>
      <c r="D95" s="1212"/>
      <c r="E95" s="1212"/>
      <c r="I95" s="66"/>
      <c r="J95" s="66"/>
      <c r="R95" s="66"/>
      <c r="U95" s="66"/>
    </row>
    <row r="96" spans="1:23" s="77" customFormat="1" ht="19.5" thickBot="1" x14ac:dyDescent="0.3">
      <c r="A96" s="1211" t="s">
        <v>2171</v>
      </c>
      <c r="B96" s="1211"/>
      <c r="C96" s="1211"/>
      <c r="D96" s="1211"/>
      <c r="E96" s="1211"/>
      <c r="I96" s="142"/>
      <c r="J96" s="142"/>
      <c r="R96" s="142"/>
      <c r="U96" s="142"/>
    </row>
    <row r="97" spans="1:14" ht="60" customHeight="1" x14ac:dyDescent="0.25">
      <c r="A97"/>
      <c r="B97"/>
      <c r="C97"/>
      <c r="D97"/>
      <c r="E97"/>
    </row>
    <row r="98" spans="1:14" ht="24.95" customHeight="1" x14ac:dyDescent="0.25">
      <c r="A98" s="1213" t="s">
        <v>1784</v>
      </c>
      <c r="B98" s="1213"/>
      <c r="C98" s="1213"/>
      <c r="D98" s="1213"/>
      <c r="E98" s="1213"/>
    </row>
    <row r="99" spans="1:14" ht="24.95" customHeight="1" thickBot="1" x14ac:dyDescent="0.3">
      <c r="A99" s="1218" t="s">
        <v>2155</v>
      </c>
      <c r="B99" s="1218"/>
      <c r="C99" s="1218"/>
      <c r="D99" s="1218"/>
      <c r="E99" s="841" t="str">
        <f>"Ver."&amp;" "&amp;TEXT(Introduction!$M$3,"MM/YYYY")</f>
        <v>Ver. 01/2025</v>
      </c>
    </row>
    <row r="100" spans="1:14" ht="21.95" customHeight="1" thickBot="1" x14ac:dyDescent="0.3">
      <c r="A100" s="1214" t="s">
        <v>264</v>
      </c>
      <c r="B100" s="1215"/>
      <c r="C100" s="1205" t="s">
        <v>269</v>
      </c>
      <c r="D100" s="1216" t="s">
        <v>267</v>
      </c>
      <c r="E100" s="1216" t="s">
        <v>268</v>
      </c>
    </row>
    <row r="101" spans="1:14" ht="21.95" customHeight="1" thickBot="1" x14ac:dyDescent="0.3">
      <c r="A101" s="787" t="s">
        <v>265</v>
      </c>
      <c r="B101" s="788" t="s">
        <v>266</v>
      </c>
      <c r="C101" s="1206"/>
      <c r="D101" s="1217"/>
      <c r="E101" s="1217"/>
    </row>
    <row r="102" spans="1:14" ht="18" customHeight="1" x14ac:dyDescent="0.25">
      <c r="A102" s="1200" t="s">
        <v>2167</v>
      </c>
      <c r="B102" s="1201"/>
      <c r="C102" s="1201"/>
      <c r="D102" s="1201"/>
      <c r="E102" s="1202"/>
    </row>
    <row r="103" spans="1:14" ht="18" customHeight="1" x14ac:dyDescent="0.25">
      <c r="A103" s="391">
        <f>IF($M$103=0,0,SUM($M$103:$M$105))</f>
        <v>0</v>
      </c>
      <c r="B103" s="391">
        <f>IF(N103=0,0,SUM($N$103:N103))</f>
        <v>0</v>
      </c>
      <c r="C103" s="303">
        <f ca="1">IF(AND(B103&gt;0,K15&gt;0),K15,IF(AND(B103&gt;0,K15=0),"See Misc. Units",0))</f>
        <v>0</v>
      </c>
      <c r="D103" s="552" t="str">
        <f ca="1">IF(AND(ISNUMBER(C103),C103&gt;0),"Boiler: "&amp;$E$12&amp;" - "&amp;TEXT($E$14,"##.00")&amp;" "&amp;$F$14,IF(ISTEXT(C103),"See 'Miscellaneous Emission Units', below.",""))</f>
        <v/>
      </c>
      <c r="E103" s="552" t="str">
        <f ca="1">IF(AND(ISNUMBER(C103),C103&gt;0),L15&amp;" Combustion",IF(ISTEXT(C103),"N/A",""))</f>
        <v/>
      </c>
      <c r="I103" s="680"/>
      <c r="J103" s="680"/>
      <c r="K103" s="677"/>
      <c r="M103" s="64">
        <f>IF(AND($P$4=TRUE,$E$4&gt;0),1,0)</f>
        <v>0</v>
      </c>
      <c r="N103" s="64">
        <f>IF(ISBLANK(E15),0,1)</f>
        <v>0</v>
      </c>
    </row>
    <row r="104" spans="1:14" ht="18" customHeight="1" x14ac:dyDescent="0.25">
      <c r="A104" s="391">
        <f t="shared" ref="A104:A105" si="1">IF($M$103=0,0,SUM($M$103:$M$105))</f>
        <v>0</v>
      </c>
      <c r="B104" s="391">
        <f>IF(N104=0,0,SUM($N$103:N104))</f>
        <v>0</v>
      </c>
      <c r="C104" s="303">
        <f ca="1">IF(AND(B104&gt;0,K16&gt;0),K16,IF(AND(B104&gt;0,K16=0),"See Misc. Units",0))</f>
        <v>0</v>
      </c>
      <c r="D104" s="552" t="str">
        <f t="shared" ref="D104:D105" ca="1" si="2">IF(AND(ISNUMBER(C104),C104&gt;0),"Boiler: "&amp;$E$12&amp;" - "&amp;TEXT($E$14,"##.00")&amp;" "&amp;$F$14,IF(ISTEXT(C104),"See 'Miscellaneous Emission Units', below.",""))</f>
        <v/>
      </c>
      <c r="E104" s="552" t="str">
        <f ca="1">IF(AND(ISNUMBER(C104),C104&gt;0),L16&amp;" Combustion",IF(ISTEXT(C104),"N/A",""))</f>
        <v/>
      </c>
      <c r="I104" s="680"/>
      <c r="J104" s="680"/>
      <c r="K104" s="677"/>
      <c r="N104" s="64">
        <f t="shared" ref="N104:N105" si="3">IF(ISBLANK(E16),0,1)</f>
        <v>0</v>
      </c>
    </row>
    <row r="105" spans="1:14" ht="18" customHeight="1" thickBot="1" x14ac:dyDescent="0.3">
      <c r="A105" s="395">
        <f t="shared" si="1"/>
        <v>0</v>
      </c>
      <c r="B105" s="395">
        <f>IF(N105=0,0,SUM($N$103:N105))</f>
        <v>0</v>
      </c>
      <c r="C105" s="310">
        <f ca="1">IF(AND(B105&gt;0,K17&gt;0),K17,IF(AND(B105&gt;0,K17=0),"See Misc. Units",0))</f>
        <v>0</v>
      </c>
      <c r="D105" s="627" t="str">
        <f t="shared" ca="1" si="2"/>
        <v/>
      </c>
      <c r="E105" s="627" t="str">
        <f ca="1">IF(AND(ISNUMBER(C105),C105&gt;0),L17&amp;" Combustion",IF(ISTEXT(C105),"N/A",""))</f>
        <v/>
      </c>
      <c r="I105" s="680"/>
      <c r="J105" s="680"/>
      <c r="K105" s="656"/>
      <c r="N105" s="64">
        <f t="shared" si="3"/>
        <v>0</v>
      </c>
    </row>
    <row r="106" spans="1:14" ht="18" customHeight="1" x14ac:dyDescent="0.25">
      <c r="A106" s="625">
        <f>IF($M$106=0,0,SUM($M$103:$M$108))</f>
        <v>0</v>
      </c>
      <c r="B106" s="625">
        <f>IF(N106=0,0,SUM($N$106:N106))</f>
        <v>0</v>
      </c>
      <c r="C106" s="626">
        <f ca="1">IF(AND(B106&gt;0,K21&gt;0),K21,IF(AND(B106&gt;0,K21=0),"See Misc. Units",0))</f>
        <v>0</v>
      </c>
      <c r="D106" s="628" t="str">
        <f ca="1">IF(AND(ISNUMBER(C106),C106&gt;0),"Boiler: "&amp;$E$18&amp;" - "&amp;TEXT($E$20,"##.00")&amp;" "&amp;$F$20,IF(ISTEXT(C106),"See 'Miscellaneous Emission Units', below.",""))</f>
        <v/>
      </c>
      <c r="E106" s="628" t="str">
        <f ca="1">IF(AND(ISNUMBER(C106),C106&gt;0),L21&amp;" Combustion",IF(ISTEXT(C106),"N/A",""))</f>
        <v/>
      </c>
      <c r="I106" s="680"/>
      <c r="J106" s="680"/>
      <c r="K106" s="656"/>
      <c r="M106" s="64">
        <f>IF(AND($P$4=TRUE,$E$4&gt;1),1,0)</f>
        <v>0</v>
      </c>
      <c r="N106" s="64">
        <f>IF(ISBLANK(E21),0,1)</f>
        <v>0</v>
      </c>
    </row>
    <row r="107" spans="1:14" ht="18" customHeight="1" x14ac:dyDescent="0.25">
      <c r="A107" s="391">
        <f t="shared" ref="A107:A108" si="4">IF($M$106=0,0,SUM($M$103:$M$108))</f>
        <v>0</v>
      </c>
      <c r="B107" s="391">
        <f>IF(N107=0,0,SUM($N$106:N107))</f>
        <v>0</v>
      </c>
      <c r="C107" s="303">
        <f ca="1">IF(AND(B107&gt;0,K22&gt;0),K22,IF(AND(B107&gt;0,K22=0),"See Misc. Units",0))</f>
        <v>0</v>
      </c>
      <c r="D107" s="552" t="str">
        <f t="shared" ref="D107:D108" ca="1" si="5">IF(AND(ISNUMBER(C107),C107&gt;0),"Boiler: "&amp;$E$18&amp;" - "&amp;TEXT($E$20,"##.00")&amp;" "&amp;$F$20,IF(ISTEXT(C107),"See 'Miscellaneous Emission Units', below.",""))</f>
        <v/>
      </c>
      <c r="E107" s="552" t="str">
        <f ca="1">IF(AND(ISNUMBER(C107),C107&gt;0),L22&amp;" Combustion",IF(ISTEXT(C107),"N/A",""))</f>
        <v/>
      </c>
      <c r="I107" s="680"/>
      <c r="J107" s="680"/>
      <c r="K107" s="68"/>
      <c r="N107" s="64">
        <f>IF(ISBLANK(E22),0,1)</f>
        <v>0</v>
      </c>
    </row>
    <row r="108" spans="1:14" ht="18" customHeight="1" thickBot="1" x14ac:dyDescent="0.3">
      <c r="A108" s="395">
        <f t="shared" si="4"/>
        <v>0</v>
      </c>
      <c r="B108" s="395">
        <f>IF(N108=0,0,SUM($N$106:N108))</f>
        <v>0</v>
      </c>
      <c r="C108" s="310">
        <f ca="1">IF(AND(B108&gt;0,K23&gt;0),K23,IF(AND(B108&gt;0,K23=0),"See Misc. Units",0))</f>
        <v>0</v>
      </c>
      <c r="D108" s="627" t="str">
        <f t="shared" ca="1" si="5"/>
        <v/>
      </c>
      <c r="E108" s="627" t="str">
        <f ca="1">IF(AND(ISNUMBER(C108),C108&gt;0),L23&amp;" Combustion",IF(ISTEXT(C108),"N/A",""))</f>
        <v/>
      </c>
      <c r="F108" s="678"/>
      <c r="G108" s="123"/>
      <c r="H108" s="123"/>
      <c r="I108" s="680"/>
      <c r="J108" s="680"/>
      <c r="K108" s="123"/>
      <c r="N108" s="64">
        <f>IF(ISBLANK(E23),0,1)</f>
        <v>0</v>
      </c>
    </row>
    <row r="109" spans="1:14" ht="18" customHeight="1" x14ac:dyDescent="0.25">
      <c r="A109" s="657">
        <f>IF($M$109=0,0,SUM($M$103:$M$111))</f>
        <v>0</v>
      </c>
      <c r="B109" s="657">
        <f>IF(N109=0,0,SUM($N$109:N109))</f>
        <v>0</v>
      </c>
      <c r="C109" s="658">
        <f ca="1">IF(AND(B109&gt;0,K27&gt;0),K27,IF(AND(B109&gt;0,K27=0),"See Misc. Units",0))</f>
        <v>0</v>
      </c>
      <c r="D109" s="659" t="str">
        <f ca="1">IF(AND(ISNUMBER(C109),C109&gt;0),"Boiler: "&amp;$E$24&amp;" - "&amp;TEXT($E$26,"##.00")&amp;" "&amp;$F$26,IF(ISTEXT(C109),"See 'Miscellaneous Emission Units', below.",""))</f>
        <v/>
      </c>
      <c r="E109" s="659" t="str">
        <f ca="1">IF(AND(ISNUMBER(C109),C109&gt;0),L27&amp;" Combustion",IF(ISTEXT(C109),"N/A",""))</f>
        <v/>
      </c>
      <c r="F109" s="678"/>
      <c r="G109" s="123"/>
      <c r="H109" s="123"/>
      <c r="I109" s="680"/>
      <c r="J109" s="680"/>
      <c r="K109" s="123"/>
      <c r="M109" s="64">
        <f>IF(AND($P$4=TRUE,$E$4&gt;2),1,0)</f>
        <v>0</v>
      </c>
      <c r="N109" s="64">
        <f>IF(ISBLANK(E27),0,1)</f>
        <v>0</v>
      </c>
    </row>
    <row r="110" spans="1:14" ht="18" customHeight="1" x14ac:dyDescent="0.25">
      <c r="A110" s="391">
        <f t="shared" ref="A110:A111" si="6">IF($M$109=0,0,SUM($M$103:$M$111))</f>
        <v>0</v>
      </c>
      <c r="B110" s="391">
        <f>IF(N110=0,0,SUM($N$109:N110))</f>
        <v>0</v>
      </c>
      <c r="C110" s="303">
        <f ca="1">IF(AND(B110&gt;0,K28&gt;0),K28,IF(AND(B110&gt;0,K28=0),"See Misc. Units",0))</f>
        <v>0</v>
      </c>
      <c r="D110" s="552" t="str">
        <f t="shared" ref="D110:D111" ca="1" si="7">IF(AND(ISNUMBER(C110),C110&gt;0),"Boiler: "&amp;$E$24&amp;" - "&amp;TEXT($E$26,"##.00")&amp;" "&amp;$F$26,IF(ISTEXT(C110),"See 'Miscellaneous Emission Units', below.",""))</f>
        <v/>
      </c>
      <c r="E110" s="552" t="str">
        <f ca="1">IF(AND(ISNUMBER(C110),C110&gt;0),L28&amp;" Combustion",IF(ISTEXT(C110),"N/A",""))</f>
        <v/>
      </c>
      <c r="F110" s="678"/>
      <c r="G110" s="123"/>
      <c r="H110" s="123"/>
      <c r="I110" s="680"/>
      <c r="J110" s="680"/>
      <c r="K110" s="123"/>
      <c r="N110" s="64">
        <f>IF(ISBLANK(E28),0,1)</f>
        <v>0</v>
      </c>
    </row>
    <row r="111" spans="1:14" ht="18" customHeight="1" thickBot="1" x14ac:dyDescent="0.3">
      <c r="A111" s="395">
        <f t="shared" si="6"/>
        <v>0</v>
      </c>
      <c r="B111" s="395">
        <f>IF(N111=0,0,SUM($N$109:N111))</f>
        <v>0</v>
      </c>
      <c r="C111" s="310">
        <f ca="1">IF(AND(B111&gt;0,K29&gt;0),K29,IF(AND(B111&gt;0,K29=0),"See Misc. Units",0))</f>
        <v>0</v>
      </c>
      <c r="D111" s="627" t="str">
        <f t="shared" ca="1" si="7"/>
        <v/>
      </c>
      <c r="E111" s="627" t="str">
        <f ca="1">IF(AND(ISNUMBER(C111),C111&gt;0),L29&amp;" Combustion",IF(ISTEXT(C111),"N/A",""))</f>
        <v/>
      </c>
      <c r="F111" s="678"/>
      <c r="G111" s="123"/>
      <c r="H111" s="123"/>
      <c r="I111" s="680"/>
      <c r="J111" s="680"/>
      <c r="K111" s="123"/>
      <c r="N111" s="64">
        <f>IF(ISBLANK(E29),0,1)</f>
        <v>0</v>
      </c>
    </row>
    <row r="112" spans="1:14" ht="18" customHeight="1" x14ac:dyDescent="0.25">
      <c r="A112" s="657">
        <f>IF($M$112=0,0,SUM($M$103:$M$114))</f>
        <v>0</v>
      </c>
      <c r="B112" s="657">
        <f>IF(N112=0,0,SUM($N$112:N112))</f>
        <v>0</v>
      </c>
      <c r="C112" s="658">
        <f ca="1">IF(AND(B112&gt;0,K33&gt;0),K33,IF(AND(B112&gt;0,K33=0),"See Misc. Units",0))</f>
        <v>0</v>
      </c>
      <c r="D112" s="659" t="str">
        <f ca="1">IF(AND(ISNUMBER(C112),C112&gt;0),"Boiler: "&amp;$E$30&amp;" - "&amp;TEXT($E$32,"##.00")&amp;" "&amp;$F$32,IF(ISTEXT(C112),"See 'Miscellaneous Emission Units', below.",""))</f>
        <v/>
      </c>
      <c r="E112" s="659" t="str">
        <f ca="1">IF(AND(ISNUMBER(C112),C112&gt;0),L33&amp;" Combustion",IF(ISTEXT(C112),"N/A",""))</f>
        <v/>
      </c>
      <c r="F112" s="678"/>
      <c r="G112" s="123"/>
      <c r="H112" s="123"/>
      <c r="I112" s="680"/>
      <c r="J112" s="680"/>
      <c r="K112" s="677"/>
      <c r="M112" s="64">
        <f>IF(AND($P$4=TRUE,$E$4&gt;3),1,0)</f>
        <v>0</v>
      </c>
      <c r="N112" s="64">
        <f>IF(ISBLANK(E33),0,1)</f>
        <v>0</v>
      </c>
    </row>
    <row r="113" spans="1:14" ht="18" customHeight="1" x14ac:dyDescent="0.25">
      <c r="A113" s="391">
        <f t="shared" ref="A113:A114" si="8">IF($M$112=0,0,SUM($M$103:$M$114))</f>
        <v>0</v>
      </c>
      <c r="B113" s="391">
        <f>IF(N113=0,0,SUM($N$112:N113))</f>
        <v>0</v>
      </c>
      <c r="C113" s="303">
        <f ca="1">IF(AND(B113&gt;0,K34&gt;0),K34,IF(AND(B113&gt;0,K34=0),"See Misc. Units",0))</f>
        <v>0</v>
      </c>
      <c r="D113" s="552" t="str">
        <f t="shared" ref="D113:D114" ca="1" si="9">IF(AND(ISNUMBER(C113),C113&gt;0),"Boiler: "&amp;$E$30&amp;" - "&amp;TEXT($E$32,"##.00")&amp;" "&amp;$F$32,IF(ISTEXT(C113),"See 'Miscellaneous Emission Units', below.",""))</f>
        <v/>
      </c>
      <c r="E113" s="552" t="str">
        <f ca="1">IF(AND(ISNUMBER(C113),C113&gt;0),L34&amp;" Combustion",IF(ISTEXT(C113),"N/A",""))</f>
        <v/>
      </c>
      <c r="F113" s="678"/>
      <c r="G113" s="123"/>
      <c r="H113" s="123"/>
      <c r="I113" s="680"/>
      <c r="J113" s="680"/>
      <c r="K113" s="677"/>
      <c r="N113" s="64">
        <f>IF(ISBLANK(E34),0,1)</f>
        <v>0</v>
      </c>
    </row>
    <row r="114" spans="1:14" ht="18" customHeight="1" thickBot="1" x14ac:dyDescent="0.3">
      <c r="A114" s="395">
        <f t="shared" si="8"/>
        <v>0</v>
      </c>
      <c r="B114" s="395">
        <f>IF(N114=0,0,SUM($N$112:N114))</f>
        <v>0</v>
      </c>
      <c r="C114" s="310">
        <f ca="1">IF(AND(B114&gt;0,K35&gt;0),K35,IF(AND(B114&gt;0,K35=0),"See Misc. Units",0))</f>
        <v>0</v>
      </c>
      <c r="D114" s="627" t="str">
        <f t="shared" ca="1" si="9"/>
        <v/>
      </c>
      <c r="E114" s="627" t="str">
        <f ca="1">IF(AND(ISNUMBER(C114),C114&gt;0),L35&amp;" Combustion",IF(ISTEXT(C114),"N/A",""))</f>
        <v/>
      </c>
      <c r="F114" s="678"/>
      <c r="G114" s="123"/>
      <c r="H114" s="123"/>
      <c r="I114" s="680"/>
      <c r="J114" s="680"/>
      <c r="K114" s="656"/>
      <c r="N114" s="64">
        <f>IF(ISBLANK(E35),0,1)</f>
        <v>0</v>
      </c>
    </row>
    <row r="115" spans="1:14" ht="18" customHeight="1" x14ac:dyDescent="0.25">
      <c r="A115" s="657">
        <f>IF($M$115=0,0,SUM($M$103:$M$117))</f>
        <v>0</v>
      </c>
      <c r="B115" s="657">
        <f>IF(N115=0,0,SUM($N$115:N115))</f>
        <v>0</v>
      </c>
      <c r="C115" s="658">
        <f ca="1">IF(AND(B115&gt;0,K39&gt;0),K39,IF(AND(B115&gt;0,K39=0),"See Misc. Units",0))</f>
        <v>0</v>
      </c>
      <c r="D115" s="659" t="str">
        <f ca="1">IF(AND(ISNUMBER(C115),C115&gt;0),"Boiler: "&amp;$E$36&amp;" - "&amp;TEXT($E$38,"##.00")&amp;" "&amp;$F$38,IF(ISTEXT(C115),"See 'Miscellaneous Emission Units', below.",""))</f>
        <v/>
      </c>
      <c r="E115" s="659" t="str">
        <f ca="1">IF(AND(ISNUMBER(C115),C115&gt;0),L39&amp;" Combustion",IF(ISTEXT(C115),"N/A",""))</f>
        <v/>
      </c>
      <c r="F115" s="678"/>
      <c r="G115" s="123"/>
      <c r="H115" s="123"/>
      <c r="I115" s="680"/>
      <c r="J115" s="680"/>
      <c r="K115" s="656"/>
      <c r="M115" s="64">
        <f>IF(AND($P$4=TRUE,$E$4&gt;4),1,0)</f>
        <v>0</v>
      </c>
      <c r="N115" s="64">
        <f>IF(ISBLANK(E39),0,1)</f>
        <v>0</v>
      </c>
    </row>
    <row r="116" spans="1:14" ht="18" customHeight="1" x14ac:dyDescent="0.25">
      <c r="A116" s="391">
        <f t="shared" ref="A116:A117" si="10">IF($M$115=0,0,SUM($M$103:$M$117))</f>
        <v>0</v>
      </c>
      <c r="B116" s="391">
        <f>IF(N116=0,0,SUM($N$115:N116))</f>
        <v>0</v>
      </c>
      <c r="C116" s="303">
        <f ca="1">IF(AND(B116&gt;0,K40&gt;0),K40,IF(AND(B116&gt;0,K40=0),"See Misc. Units",0))</f>
        <v>0</v>
      </c>
      <c r="D116" s="552" t="str">
        <f t="shared" ref="D116:D117" ca="1" si="11">IF(AND(ISNUMBER(C116),C116&gt;0),"Boiler: "&amp;$E$36&amp;" - "&amp;TEXT($E$38,"##.00")&amp;" "&amp;$F$38,IF(ISTEXT(C116),"See 'Miscellaneous Emission Units', below.",""))</f>
        <v/>
      </c>
      <c r="E116" s="552" t="str">
        <f ca="1">IF(AND(ISNUMBER(C116),C116&gt;0),L40&amp;" Combustion",IF(ISTEXT(C116),"N/A",""))</f>
        <v/>
      </c>
      <c r="F116" s="678"/>
      <c r="G116" s="123"/>
      <c r="H116" s="123"/>
      <c r="I116" s="680"/>
      <c r="J116" s="680"/>
      <c r="K116" s="68"/>
      <c r="N116" s="64">
        <f>IF(ISBLANK(E40),0,1)</f>
        <v>0</v>
      </c>
    </row>
    <row r="117" spans="1:14" ht="18" customHeight="1" thickBot="1" x14ac:dyDescent="0.3">
      <c r="A117" s="395">
        <f t="shared" si="10"/>
        <v>0</v>
      </c>
      <c r="B117" s="395">
        <f>IF(N117=0,0,SUM($N$115:N117))</f>
        <v>0</v>
      </c>
      <c r="C117" s="310">
        <f ca="1">IF(AND(B117&gt;0,K41&gt;0),K41,IF(AND(B117&gt;0,K41=0),"See Misc. Units",0))</f>
        <v>0</v>
      </c>
      <c r="D117" s="627" t="str">
        <f t="shared" ca="1" si="11"/>
        <v/>
      </c>
      <c r="E117" s="627" t="str">
        <f ca="1">IF(AND(ISNUMBER(C117),C117&gt;0),L41&amp;" Combustion",IF(ISTEXT(C117),"N/A",""))</f>
        <v/>
      </c>
      <c r="F117" s="678"/>
      <c r="G117" s="123"/>
      <c r="H117" s="123"/>
      <c r="I117" s="680"/>
      <c r="J117" s="680"/>
      <c r="K117" s="68"/>
      <c r="N117" s="64">
        <f>IF(ISBLANK(E41),0,1)</f>
        <v>0</v>
      </c>
    </row>
    <row r="118" spans="1:14" ht="18" customHeight="1" x14ac:dyDescent="0.25">
      <c r="A118" s="1200" t="s">
        <v>2168</v>
      </c>
      <c r="B118" s="1201"/>
      <c r="C118" s="1201"/>
      <c r="D118" s="1201"/>
      <c r="E118" s="1202"/>
      <c r="F118" s="678"/>
      <c r="G118" s="123"/>
      <c r="H118" s="123"/>
      <c r="I118" s="680"/>
      <c r="J118" s="680"/>
      <c r="K118" s="68"/>
    </row>
    <row r="119" spans="1:14" ht="18" customHeight="1" thickBot="1" x14ac:dyDescent="0.3">
      <c r="A119" s="391">
        <f>IF($M$119=0,0,SUM($M$103:$M$119))</f>
        <v>0</v>
      </c>
      <c r="B119" s="391">
        <f>IF(N119=0,0,SUM($N$119:N119))</f>
        <v>0</v>
      </c>
      <c r="C119" s="303">
        <f>IF(M119&gt;0,38500101,0)</f>
        <v>0</v>
      </c>
      <c r="D119" s="552" t="str">
        <f>IF(A119&gt;0,"Cooling Towers  ≥ 2,000 gals/min","")</f>
        <v/>
      </c>
      <c r="E119" s="552" t="str">
        <f>IF(A119&gt;0,"Fugitive PM","")</f>
        <v/>
      </c>
      <c r="F119" s="678"/>
      <c r="G119" s="123"/>
      <c r="H119" s="123"/>
      <c r="I119" s="680"/>
      <c r="J119" s="680"/>
      <c r="K119" s="68"/>
      <c r="M119" s="64">
        <f>IF(AND($P$5=TRUE,$E$5&gt;0),1,0)</f>
        <v>0</v>
      </c>
      <c r="N119" s="64">
        <f>IF(AND($M$119=1,$E$5&gt;0),1,0)</f>
        <v>0</v>
      </c>
    </row>
    <row r="120" spans="1:14" ht="18" customHeight="1" x14ac:dyDescent="0.25">
      <c r="A120" s="1200" t="s">
        <v>2169</v>
      </c>
      <c r="B120" s="1201"/>
      <c r="C120" s="1201"/>
      <c r="D120" s="1201"/>
      <c r="E120" s="1202"/>
      <c r="F120" s="678"/>
      <c r="G120" s="123"/>
      <c r="H120" s="123"/>
      <c r="I120" s="680"/>
      <c r="J120" s="680"/>
      <c r="K120" s="656"/>
    </row>
    <row r="121" spans="1:14" ht="18" customHeight="1" x14ac:dyDescent="0.25">
      <c r="A121" s="391">
        <f>IF($M$121=0,0,SUM($M$103:$M$122))</f>
        <v>0</v>
      </c>
      <c r="B121" s="391">
        <f>IF(N121=0,0,SUM($N$121:N121))</f>
        <v>0</v>
      </c>
      <c r="C121" s="303">
        <f ca="1">K50</f>
        <v>0</v>
      </c>
      <c r="D121" s="552" t="str">
        <f ca="1">IF(AND(ISNUMBER(C121),C121&gt;0),"Turbine: "&amp;$E$47&amp;" - "&amp;TEXT($E$49,"##.00")&amp;" "&amp;$F$49,"")</f>
        <v/>
      </c>
      <c r="E121" s="552" t="str">
        <f ca="1">IF(AND(ISNUMBER(C121),C121&gt;0),M50&amp;" Combustion",IF(ISTEXT(C121),"N/A",""))</f>
        <v/>
      </c>
      <c r="F121" s="92"/>
      <c r="K121" s="68"/>
      <c r="M121" s="64">
        <f>IF(AND($P$6=TRUE,$E$6&gt;0),1,0)</f>
        <v>0</v>
      </c>
      <c r="N121" s="64">
        <f>IF(OR($M$121=0,ISBLANK(E50)),0,1)</f>
        <v>0</v>
      </c>
    </row>
    <row r="122" spans="1:14" ht="18" customHeight="1" thickBot="1" x14ac:dyDescent="0.3">
      <c r="A122" s="395">
        <f>IF($M$121=0,0,SUM($M$103:$M$122))</f>
        <v>0</v>
      </c>
      <c r="B122" s="395">
        <f>IF(N122=0,0,SUM($N$121:N122))</f>
        <v>0</v>
      </c>
      <c r="C122" s="310">
        <f ca="1">K51</f>
        <v>0</v>
      </c>
      <c r="D122" s="627" t="str">
        <f ca="1">IF(AND(ISNUMBER(C122),C122&gt;0),"Turbine: "&amp;$E$47&amp;" - "&amp;TEXT($E$49,"##.00")&amp;" "&amp;$F$49,"")</f>
        <v/>
      </c>
      <c r="E122" s="627" t="str">
        <f ca="1">IF(AND(ISNUMBER(C122),C122&gt;0),M51&amp;" Combustion",IF(ISTEXT(C122),"N/A",""))</f>
        <v/>
      </c>
      <c r="F122" s="92"/>
      <c r="K122" s="68"/>
      <c r="N122" s="64">
        <f>IF(OR($M$121=0,ISBLANK(E51)),0,1)</f>
        <v>0</v>
      </c>
    </row>
    <row r="123" spans="1:14" ht="18" customHeight="1" x14ac:dyDescent="0.25">
      <c r="A123" s="625">
        <f>IF($M$123=0,0,SUM($M$103:$M$124))</f>
        <v>0</v>
      </c>
      <c r="B123" s="625">
        <f>IF(N123=0,0,SUM($N$123:N123))</f>
        <v>0</v>
      </c>
      <c r="C123" s="626">
        <f ca="1">K55</f>
        <v>0</v>
      </c>
      <c r="D123" s="628" t="str">
        <f ca="1">IF(AND(ISNUMBER(C123),C123&gt;0),"Turbine: "&amp;$E$52&amp;" - "&amp;TEXT($E$54,"##.00")&amp;" "&amp;$F$54,"")</f>
        <v/>
      </c>
      <c r="E123" s="628" t="str">
        <f ca="1">IF(AND(ISNUMBER(C123),C123&gt;0),M55&amp;" Combustion",IF(ISTEXT(C123),"N/A",""))</f>
        <v/>
      </c>
      <c r="F123" s="92"/>
      <c r="K123" s="68"/>
      <c r="M123" s="64">
        <f>IF(AND($P$6=TRUE,$E$6&gt;1),1,0)</f>
        <v>0</v>
      </c>
      <c r="N123" s="64">
        <f>IF(OR($M$123=0,ISBLANK(E55)),0,1)</f>
        <v>0</v>
      </c>
    </row>
    <row r="124" spans="1:14" ht="18" customHeight="1" thickBot="1" x14ac:dyDescent="0.3">
      <c r="A124" s="395">
        <f>IF($M$123=0,0,SUM($M$103:$M$124))</f>
        <v>0</v>
      </c>
      <c r="B124" s="395">
        <f>IF(N124=0,0,SUM($N$123:N124))</f>
        <v>0</v>
      </c>
      <c r="C124" s="310">
        <f ca="1">K56</f>
        <v>0</v>
      </c>
      <c r="D124" s="627" t="str">
        <f ca="1">IF(AND(ISNUMBER(C124),C124&gt;0),"Turbine: "&amp;$E$52&amp;" - "&amp;TEXT($E$54,"##.00")&amp;" "&amp;$F$54,"")</f>
        <v/>
      </c>
      <c r="E124" s="627" t="str">
        <f ca="1">IF(AND(ISNUMBER(C124),C124&gt;0),M56&amp;" Combustion",IF(ISTEXT(C124),"N/A",""))</f>
        <v/>
      </c>
      <c r="F124" s="92"/>
      <c r="K124" s="68"/>
      <c r="N124" s="64">
        <f>IF(OR($M$123=0,ISBLANK(E56)),0,1)</f>
        <v>0</v>
      </c>
    </row>
    <row r="125" spans="1:14" ht="18" customHeight="1" x14ac:dyDescent="0.25">
      <c r="A125" s="625">
        <f>IF($M$125=0,0,SUM($M$103:$M$126))</f>
        <v>0</v>
      </c>
      <c r="B125" s="625">
        <f>IF(N125=0,0,SUM($N$125:N125))</f>
        <v>0</v>
      </c>
      <c r="C125" s="626">
        <f ca="1">K60</f>
        <v>0</v>
      </c>
      <c r="D125" s="628" t="str">
        <f ca="1">IF(AND(ISNUMBER(C125),C125&gt;0),"Turbine: "&amp;$E$57&amp;" - "&amp;TEXT($E$59,"##.00")&amp;" "&amp;$F$59,"")</f>
        <v/>
      </c>
      <c r="E125" s="628" t="str">
        <f ca="1">IF(AND(ISNUMBER(C125),C125&gt;0),M60&amp;" Combustion",IF(ISTEXT(C125),"N/A",""))</f>
        <v/>
      </c>
      <c r="F125" s="92"/>
      <c r="K125" s="68"/>
      <c r="M125" s="64">
        <f>IF(AND($P$6=TRUE,$E$6&gt;2),1,0)</f>
        <v>0</v>
      </c>
      <c r="N125" s="64">
        <f>IF(OR($M$125=0,ISBLANK(E60)),0,1)</f>
        <v>0</v>
      </c>
    </row>
    <row r="126" spans="1:14" ht="18" customHeight="1" thickBot="1" x14ac:dyDescent="0.3">
      <c r="A126" s="625">
        <f>IF($M$125=0,0,SUM($M$103:$M$126))</f>
        <v>0</v>
      </c>
      <c r="B126" s="391">
        <f>IF(N126=0,0,SUM($N$125:N126))</f>
        <v>0</v>
      </c>
      <c r="C126" s="303">
        <f ca="1">K61</f>
        <v>0</v>
      </c>
      <c r="D126" s="552" t="str">
        <f ca="1">IF(AND(ISNUMBER(C126),C126&gt;0),"Turbine: "&amp;$E$57&amp;" - "&amp;TEXT($E$59,"##.00")&amp;" "&amp;$F$59,"")</f>
        <v/>
      </c>
      <c r="E126" s="552" t="str">
        <f ca="1">IF(AND(ISNUMBER(C126),C126&gt;0),M61&amp;" Combustion",IF(ISTEXT(C126),"N/A",""))</f>
        <v/>
      </c>
      <c r="F126" s="92"/>
      <c r="K126" s="68"/>
      <c r="N126" s="64">
        <f>IF(OR($M$125=0,ISBLANK(E61)),0,1)</f>
        <v>0</v>
      </c>
    </row>
    <row r="127" spans="1:14" ht="18" customHeight="1" x14ac:dyDescent="0.25">
      <c r="A127" s="1200" t="s">
        <v>2276</v>
      </c>
      <c r="B127" s="1201"/>
      <c r="C127" s="1201"/>
      <c r="D127" s="1201"/>
      <c r="E127" s="1202"/>
      <c r="F127" s="92"/>
    </row>
    <row r="128" spans="1:14" ht="18" customHeight="1" x14ac:dyDescent="0.25">
      <c r="A128" s="391">
        <f>IF($M$128=0,0,SUM($M$103:$M$128))</f>
        <v>0</v>
      </c>
      <c r="B128" s="391">
        <v>1</v>
      </c>
      <c r="C128" s="303">
        <f ca="1">SUMIF($R$3:$S$7,E64,$S$3:$S$7)</f>
        <v>0</v>
      </c>
      <c r="D128" s="552" t="str">
        <f ca="1">IF(AND(ISNUMBER(C128),C128&gt;0),"Engine: "&amp;$E$63,"")</f>
        <v/>
      </c>
      <c r="E128" s="552" t="str">
        <f ca="1">IF(OR(C128=$S$3,C128=$S$4),"Diesel Combustion",IF(C128=$S$5,"Gasoline Combustion",IF(OR(C128=$S$6,C128=$S$7),"Natural Gas Combustion","")))</f>
        <v/>
      </c>
      <c r="F128" s="92"/>
      <c r="M128" s="64">
        <f>IF(AND($P$7=TRUE,$E$7&gt;0),1,0)</f>
        <v>0</v>
      </c>
    </row>
    <row r="129" spans="1:13" ht="18" customHeight="1" x14ac:dyDescent="0.25">
      <c r="A129" s="391">
        <f>IF($M$129=0,0,SUM($M$103:$M$129))</f>
        <v>0</v>
      </c>
      <c r="B129" s="391">
        <v>1</v>
      </c>
      <c r="C129" s="303">
        <f ca="1">SUMIF($R$3:$S$7,E68,$S$3:$S$7)</f>
        <v>0</v>
      </c>
      <c r="D129" s="552" t="str">
        <f ca="1">IF(AND(ISNUMBER(C129),C129&gt;0),"Engine: "&amp;$E$67,"")</f>
        <v/>
      </c>
      <c r="E129" s="552" t="str">
        <f ca="1">IF(OR(C129=$S$3,C129=$S$4),"Diesel Combustion",IF(C129=$S$5,"Gasoline Combustion",IF(OR(C129=$S$6,C129=$S$7),"Natural Gas Combustion","")))</f>
        <v/>
      </c>
      <c r="F129" s="92"/>
      <c r="M129" s="64">
        <f>IF(AND($P$7=TRUE,$E$7&gt;1),1,0)</f>
        <v>0</v>
      </c>
    </row>
    <row r="130" spans="1:13" ht="18" customHeight="1" x14ac:dyDescent="0.25">
      <c r="A130" s="391">
        <f>IF($M$130=0,0,SUM($M$103:$M$130))</f>
        <v>0</v>
      </c>
      <c r="B130" s="391">
        <v>1</v>
      </c>
      <c r="C130" s="303">
        <f ca="1">SUMIF($R$3:$S$7,E72,$S$3:$S$7)</f>
        <v>0</v>
      </c>
      <c r="D130" s="552" t="str">
        <f ca="1">IF(AND(ISNUMBER(C130),C130&gt;0),"Engine: "&amp;$E$71,"")</f>
        <v/>
      </c>
      <c r="E130" s="552" t="str">
        <f ca="1">IF(OR(C130=$S$3,C130=$S$4),"Diesel Combustion",IF(C130=$S$5,"Gasoline Combustion",IF(OR(C130=$S$6,C130=$S$7),"Natural Gas Combustion","")))</f>
        <v/>
      </c>
      <c r="F130" s="92"/>
      <c r="M130" s="64">
        <f>IF(AND($P$7=TRUE,$E$7&gt;2),1,0)</f>
        <v>0</v>
      </c>
    </row>
    <row r="131" spans="1:13" ht="18" customHeight="1" x14ac:dyDescent="0.25">
      <c r="A131" s="391">
        <f>IF($M$131=0,0,SUM($M$103:$M$131))</f>
        <v>0</v>
      </c>
      <c r="B131" s="391">
        <v>1</v>
      </c>
      <c r="C131" s="303">
        <f ca="1">SUMIF($R$3:$S$7,E76,$S$3:$S$7)</f>
        <v>0</v>
      </c>
      <c r="D131" s="552" t="str">
        <f ca="1">IF(AND(ISNUMBER(C131),C131&gt;0),"Engine: "&amp;$E$75,"")</f>
        <v/>
      </c>
      <c r="E131" s="552" t="str">
        <f ca="1">IF(OR(C131=$S$3,C131=$S$4),"Diesel Combustion",IF(C131=$S$5,"Gasoline Combustion",IF(OR(C131=$S$6,C131=$S$7),"Natural Gas Combustion","")))</f>
        <v/>
      </c>
      <c r="F131" s="92"/>
      <c r="M131" s="64">
        <f>IF(AND($P$7=TRUE,$E$7&gt;3),1,0)</f>
        <v>0</v>
      </c>
    </row>
    <row r="132" spans="1:13" ht="18" customHeight="1" thickBot="1" x14ac:dyDescent="0.3">
      <c r="A132" s="391">
        <f>IF($M$132=0,0,SUM($M$103:$M$132))</f>
        <v>0</v>
      </c>
      <c r="B132" s="391">
        <v>1</v>
      </c>
      <c r="C132" s="303">
        <f ca="1">SUMIF($R$3:$S$7,E80,$S$3:$S$7)</f>
        <v>0</v>
      </c>
      <c r="D132" s="552" t="str">
        <f ca="1">IF(AND(ISNUMBER(C132),C132&gt;0),"Engine: "&amp;$E$79,"")</f>
        <v/>
      </c>
      <c r="E132" s="552" t="str">
        <f ca="1">IF(OR(C132=$S$3,C132=$S$4),"Diesel Combustion",IF(C132=$S$5,"Gasoline Combustion",IF(OR(C132=$S$6,C132=$S$7),"Natural Gas Combustion","")))</f>
        <v/>
      </c>
      <c r="F132" s="92"/>
      <c r="M132" s="64">
        <f>IF(AND($P$7=TRUE,$E$7&gt;4),1,0)</f>
        <v>0</v>
      </c>
    </row>
    <row r="133" spans="1:13" ht="18" customHeight="1" x14ac:dyDescent="0.25">
      <c r="A133" s="1200" t="s">
        <v>1886</v>
      </c>
      <c r="B133" s="1201"/>
      <c r="C133" s="1201"/>
      <c r="D133" s="1201"/>
      <c r="E133" s="1202"/>
      <c r="F133" s="92"/>
    </row>
    <row r="134" spans="1:13" ht="18" customHeight="1" x14ac:dyDescent="0.25">
      <c r="A134" s="242"/>
      <c r="B134" s="242"/>
      <c r="C134" s="241"/>
      <c r="D134" s="289"/>
      <c r="E134" s="289"/>
      <c r="F134" s="92"/>
    </row>
    <row r="135" spans="1:13" ht="18" customHeight="1" x14ac:dyDescent="0.25">
      <c r="A135" s="242"/>
      <c r="B135" s="242"/>
      <c r="C135" s="241"/>
      <c r="D135" s="289"/>
      <c r="E135" s="289"/>
      <c r="F135" s="92"/>
    </row>
    <row r="136" spans="1:13" ht="18" customHeight="1" x14ac:dyDescent="0.25">
      <c r="A136" s="242"/>
      <c r="B136" s="242"/>
      <c r="C136" s="241"/>
      <c r="D136" s="289"/>
      <c r="E136" s="289"/>
      <c r="F136" s="92"/>
    </row>
    <row r="137" spans="1:13" ht="18" customHeight="1" x14ac:dyDescent="0.25">
      <c r="A137" s="242"/>
      <c r="B137" s="242"/>
      <c r="C137" s="241"/>
      <c r="D137" s="289"/>
      <c r="E137" s="289"/>
    </row>
    <row r="138" spans="1:13" ht="18" customHeight="1" x14ac:dyDescent="0.25">
      <c r="A138" s="242"/>
      <c r="B138" s="242"/>
      <c r="C138" s="241"/>
      <c r="D138" s="289"/>
      <c r="E138" s="289"/>
    </row>
    <row r="139" spans="1:13" ht="18" customHeight="1" x14ac:dyDescent="0.25">
      <c r="A139" s="242"/>
      <c r="B139" s="242"/>
      <c r="C139" s="241"/>
      <c r="D139" s="289"/>
      <c r="E139" s="289"/>
    </row>
    <row r="140" spans="1:13" ht="18" customHeight="1" x14ac:dyDescent="0.25">
      <c r="A140" s="242"/>
      <c r="B140" s="242"/>
      <c r="C140" s="241"/>
      <c r="D140" s="289"/>
      <c r="E140" s="289"/>
    </row>
    <row r="141" spans="1:13" ht="18" customHeight="1" x14ac:dyDescent="0.25">
      <c r="A141" s="242"/>
      <c r="B141" s="242"/>
      <c r="C141" s="241"/>
      <c r="D141" s="289"/>
      <c r="E141" s="289"/>
    </row>
    <row r="142" spans="1:13" ht="18" customHeight="1" x14ac:dyDescent="0.25">
      <c r="A142" s="242"/>
      <c r="B142" s="242"/>
      <c r="C142" s="241"/>
      <c r="D142" s="289"/>
      <c r="E142" s="289"/>
    </row>
    <row r="143" spans="1:13" ht="18" customHeight="1" x14ac:dyDescent="0.25">
      <c r="A143" s="242"/>
      <c r="B143" s="242"/>
      <c r="C143" s="241"/>
      <c r="D143" s="289"/>
      <c r="E143" s="289"/>
    </row>
    <row r="144" spans="1:13" ht="18" customHeight="1" x14ac:dyDescent="0.25">
      <c r="A144" s="242"/>
      <c r="B144" s="242"/>
      <c r="C144" s="241"/>
      <c r="D144" s="289"/>
      <c r="E144" s="289"/>
    </row>
    <row r="145" spans="1:5" ht="18" customHeight="1" x14ac:dyDescent="0.25">
      <c r="A145" s="242"/>
      <c r="B145" s="242"/>
      <c r="C145" s="241"/>
      <c r="D145" s="289"/>
      <c r="E145" s="289"/>
    </row>
    <row r="146" spans="1:5" ht="18" customHeight="1" x14ac:dyDescent="0.25">
      <c r="A146" s="242"/>
      <c r="B146" s="242"/>
      <c r="C146" s="241"/>
      <c r="D146" s="289"/>
      <c r="E146" s="289"/>
    </row>
    <row r="147" spans="1:5" ht="18" customHeight="1" x14ac:dyDescent="0.25">
      <c r="A147" s="242"/>
      <c r="B147" s="242"/>
      <c r="C147" s="241"/>
      <c r="D147" s="289"/>
      <c r="E147" s="289"/>
    </row>
    <row r="148" spans="1:5" ht="18" customHeight="1" x14ac:dyDescent="0.25">
      <c r="A148" s="242"/>
      <c r="B148" s="242"/>
      <c r="C148" s="241"/>
      <c r="D148" s="289"/>
      <c r="E148" s="289"/>
    </row>
    <row r="149" spans="1:5" ht="18" customHeight="1" x14ac:dyDescent="0.25">
      <c r="A149" s="242"/>
      <c r="B149" s="242"/>
      <c r="C149" s="241"/>
      <c r="D149" s="289"/>
      <c r="E149" s="289"/>
    </row>
    <row r="150" spans="1:5" ht="18" customHeight="1" x14ac:dyDescent="0.25">
      <c r="A150" s="242"/>
      <c r="B150" s="242"/>
      <c r="C150" s="241"/>
      <c r="D150" s="289"/>
      <c r="E150" s="289"/>
    </row>
    <row r="151" spans="1:5" ht="18" customHeight="1" x14ac:dyDescent="0.25">
      <c r="A151" s="242"/>
      <c r="B151" s="242"/>
      <c r="C151" s="241"/>
      <c r="D151" s="289"/>
      <c r="E151" s="289"/>
    </row>
    <row r="152" spans="1:5" ht="18" customHeight="1" x14ac:dyDescent="0.25">
      <c r="A152" s="242"/>
      <c r="B152" s="242"/>
      <c r="C152" s="241"/>
      <c r="D152" s="289"/>
      <c r="E152" s="289"/>
    </row>
    <row r="153" spans="1:5" ht="18" customHeight="1" x14ac:dyDescent="0.25">
      <c r="A153" s="242"/>
      <c r="B153" s="242"/>
      <c r="C153" s="241"/>
      <c r="D153" s="289"/>
      <c r="E153" s="289"/>
    </row>
    <row r="154" spans="1:5" ht="18" customHeight="1" x14ac:dyDescent="0.25">
      <c r="A154" s="242"/>
      <c r="B154" s="242"/>
      <c r="C154" s="241"/>
      <c r="D154" s="289"/>
      <c r="E154" s="289"/>
    </row>
    <row r="155" spans="1:5" ht="18" customHeight="1" x14ac:dyDescent="0.25">
      <c r="A155" s="242"/>
      <c r="B155" s="242"/>
      <c r="C155" s="241"/>
      <c r="D155" s="289"/>
      <c r="E155" s="289"/>
    </row>
    <row r="156" spans="1:5" ht="18" customHeight="1" x14ac:dyDescent="0.25">
      <c r="A156" s="242"/>
      <c r="B156" s="242"/>
      <c r="C156" s="241"/>
      <c r="D156" s="289"/>
      <c r="E156" s="289"/>
    </row>
    <row r="157" spans="1:5" ht="18" customHeight="1" x14ac:dyDescent="0.25">
      <c r="A157" s="242"/>
      <c r="B157" s="242"/>
      <c r="C157" s="241"/>
      <c r="D157" s="289"/>
      <c r="E157" s="289"/>
    </row>
    <row r="158" spans="1:5" ht="18" customHeight="1" x14ac:dyDescent="0.25">
      <c r="A158" s="242"/>
      <c r="B158" s="242"/>
      <c r="C158" s="241"/>
      <c r="D158" s="289"/>
      <c r="E158" s="289"/>
    </row>
    <row r="159" spans="1:5" ht="18" customHeight="1" x14ac:dyDescent="0.25">
      <c r="A159" s="242"/>
      <c r="B159" s="242"/>
      <c r="C159" s="241"/>
      <c r="D159" s="289"/>
      <c r="E159" s="289"/>
    </row>
    <row r="160" spans="1:5" ht="18" customHeight="1" x14ac:dyDescent="0.25">
      <c r="A160" s="242"/>
      <c r="B160" s="242"/>
      <c r="C160" s="241"/>
      <c r="D160" s="289"/>
      <c r="E160" s="289"/>
    </row>
    <row r="161" spans="1:5" ht="18" customHeight="1" x14ac:dyDescent="0.25">
      <c r="A161" s="242"/>
      <c r="B161" s="242"/>
      <c r="C161" s="241"/>
      <c r="D161" s="289"/>
      <c r="E161" s="289"/>
    </row>
    <row r="162" spans="1:5" ht="18" customHeight="1" x14ac:dyDescent="0.25">
      <c r="A162" s="242"/>
      <c r="B162" s="242"/>
      <c r="C162" s="241"/>
      <c r="D162" s="289"/>
      <c r="E162" s="289"/>
    </row>
    <row r="163" spans="1:5" ht="18" customHeight="1" x14ac:dyDescent="0.25">
      <c r="A163" s="242"/>
      <c r="B163" s="242"/>
      <c r="C163" s="241"/>
      <c r="D163" s="289"/>
      <c r="E163" s="289"/>
    </row>
    <row r="164" spans="1:5" ht="18" customHeight="1" x14ac:dyDescent="0.25">
      <c r="A164" s="242"/>
      <c r="B164" s="242"/>
      <c r="C164" s="241"/>
      <c r="D164" s="289"/>
      <c r="E164" s="289"/>
    </row>
    <row r="165" spans="1:5" ht="18" customHeight="1" x14ac:dyDescent="0.25">
      <c r="A165" s="242"/>
      <c r="B165" s="242"/>
      <c r="C165" s="241"/>
      <c r="D165" s="289"/>
      <c r="E165" s="289"/>
    </row>
    <row r="166" spans="1:5" ht="18" customHeight="1" thickBot="1" x14ac:dyDescent="0.3">
      <c r="A166" s="244"/>
      <c r="B166" s="244"/>
      <c r="C166" s="243"/>
      <c r="D166" s="293"/>
      <c r="E166" s="293"/>
    </row>
    <row r="167" spans="1:5" ht="18" customHeight="1" x14ac:dyDescent="0.25"/>
  </sheetData>
  <sheetProtection algorithmName="SHA-512" hashValue="2IIZiCJGHC1LaF6uXNY1I+C/2VZJ8bfYz7zAdkd3osi9x45yhTlOxW/vwUHm6nQJU4tTyg4ffjumed9ZisWhRQ==" saltValue="OWMMBmeJzwKdAXIqe0ps6w==" spinCount="100000" sheet="1" objects="1" scenarios="1"/>
  <mergeCells count="118">
    <mergeCell ref="A2:E2"/>
    <mergeCell ref="A1:E1"/>
    <mergeCell ref="A86:B86"/>
    <mergeCell ref="C86:C87"/>
    <mergeCell ref="D86:D87"/>
    <mergeCell ref="E86:E87"/>
    <mergeCell ref="B5:D5"/>
    <mergeCell ref="B7:D7"/>
    <mergeCell ref="B6:D6"/>
    <mergeCell ref="B4:D4"/>
    <mergeCell ref="B8:D8"/>
    <mergeCell ref="A57:A61"/>
    <mergeCell ref="B57:D57"/>
    <mergeCell ref="B58:D58"/>
    <mergeCell ref="B59:D59"/>
    <mergeCell ref="B60:D60"/>
    <mergeCell ref="B61:D61"/>
    <mergeCell ref="A62:E62"/>
    <mergeCell ref="A46:E46"/>
    <mergeCell ref="A42:E42"/>
    <mergeCell ref="A11:E11"/>
    <mergeCell ref="A10:E10"/>
    <mergeCell ref="A84:O84"/>
    <mergeCell ref="B76:D76"/>
    <mergeCell ref="A133:E133"/>
    <mergeCell ref="A127:E127"/>
    <mergeCell ref="A88:E88"/>
    <mergeCell ref="A85:E85"/>
    <mergeCell ref="A96:E96"/>
    <mergeCell ref="A95:E95"/>
    <mergeCell ref="A98:E98"/>
    <mergeCell ref="A100:B100"/>
    <mergeCell ref="E100:E101"/>
    <mergeCell ref="D100:D101"/>
    <mergeCell ref="A102:E102"/>
    <mergeCell ref="A99:D99"/>
    <mergeCell ref="B67:D67"/>
    <mergeCell ref="B68:D68"/>
    <mergeCell ref="B69:D69"/>
    <mergeCell ref="B3:D3"/>
    <mergeCell ref="A118:E118"/>
    <mergeCell ref="A120:E120"/>
    <mergeCell ref="F7:G7"/>
    <mergeCell ref="F5:G5"/>
    <mergeCell ref="F4:G4"/>
    <mergeCell ref="B12:D12"/>
    <mergeCell ref="B14:D14"/>
    <mergeCell ref="C100:C101"/>
    <mergeCell ref="B26:D26"/>
    <mergeCell ref="B27:D27"/>
    <mergeCell ref="B36:D36"/>
    <mergeCell ref="B37:D37"/>
    <mergeCell ref="B38:D38"/>
    <mergeCell ref="B39:D39"/>
    <mergeCell ref="B13:D13"/>
    <mergeCell ref="B15:D15"/>
    <mergeCell ref="B53:D53"/>
    <mergeCell ref="B54:D54"/>
    <mergeCell ref="B55:D55"/>
    <mergeCell ref="B56:D56"/>
    <mergeCell ref="A43:A45"/>
    <mergeCell ref="B43:D43"/>
    <mergeCell ref="B44:D44"/>
    <mergeCell ref="B45:D45"/>
    <mergeCell ref="A47:A51"/>
    <mergeCell ref="B47:D47"/>
    <mergeCell ref="B48:D48"/>
    <mergeCell ref="B49:D49"/>
    <mergeCell ref="B50:D50"/>
    <mergeCell ref="B51:D51"/>
    <mergeCell ref="B24:D24"/>
    <mergeCell ref="B25:D25"/>
    <mergeCell ref="B63:D63"/>
    <mergeCell ref="A63:A66"/>
    <mergeCell ref="A79:A82"/>
    <mergeCell ref="B79:D79"/>
    <mergeCell ref="B80:D80"/>
    <mergeCell ref="A75:A78"/>
    <mergeCell ref="B75:D75"/>
    <mergeCell ref="B81:D81"/>
    <mergeCell ref="B82:D82"/>
    <mergeCell ref="B77:D77"/>
    <mergeCell ref="B78:D78"/>
    <mergeCell ref="A71:A74"/>
    <mergeCell ref="B71:D71"/>
    <mergeCell ref="B72:D72"/>
    <mergeCell ref="B73:D73"/>
    <mergeCell ref="B74:D74"/>
    <mergeCell ref="A67:A70"/>
    <mergeCell ref="B64:D64"/>
    <mergeCell ref="B65:D65"/>
    <mergeCell ref="B66:D66"/>
    <mergeCell ref="A52:A56"/>
    <mergeCell ref="B52:D52"/>
    <mergeCell ref="B70:D70"/>
    <mergeCell ref="F12:G13"/>
    <mergeCell ref="F18:G19"/>
    <mergeCell ref="F24:G25"/>
    <mergeCell ref="F30:G31"/>
    <mergeCell ref="F36:G37"/>
    <mergeCell ref="B28:D29"/>
    <mergeCell ref="A18:A23"/>
    <mergeCell ref="B18:D18"/>
    <mergeCell ref="B19:D19"/>
    <mergeCell ref="B20:D20"/>
    <mergeCell ref="B21:D21"/>
    <mergeCell ref="B22:D23"/>
    <mergeCell ref="A12:A17"/>
    <mergeCell ref="B16:D17"/>
    <mergeCell ref="A36:A41"/>
    <mergeCell ref="B40:D41"/>
    <mergeCell ref="A30:A35"/>
    <mergeCell ref="B30:D30"/>
    <mergeCell ref="B31:D31"/>
    <mergeCell ref="B32:D32"/>
    <mergeCell ref="B33:D33"/>
    <mergeCell ref="B34:D35"/>
    <mergeCell ref="A24:A29"/>
  </mergeCells>
  <conditionalFormatting sqref="A11:E11">
    <cfRule type="expression" dxfId="234" priority="8">
      <formula>$M$103=0</formula>
    </cfRule>
  </conditionalFormatting>
  <conditionalFormatting sqref="A42:E42">
    <cfRule type="expression" dxfId="233" priority="9">
      <formula>$M$119=0</formula>
    </cfRule>
  </conditionalFormatting>
  <conditionalFormatting sqref="A46:E46">
    <cfRule type="expression" dxfId="232" priority="11">
      <formula>$M$121=0</formula>
    </cfRule>
  </conditionalFormatting>
  <conditionalFormatting sqref="A62:E62">
    <cfRule type="expression" dxfId="231" priority="10">
      <formula>$M$128=0</formula>
    </cfRule>
  </conditionalFormatting>
  <conditionalFormatting sqref="A103:E117 A119:E119 A121:E126 A128:E132">
    <cfRule type="expression" dxfId="230" priority="12">
      <formula>OR($A103=0,$B103=0)</formula>
    </cfRule>
  </conditionalFormatting>
  <conditionalFormatting sqref="A134:E166">
    <cfRule type="expression" dxfId="229" priority="1">
      <formula>AND(NOT(ISBLANK($A134)),ISBLANK(A134))</formula>
    </cfRule>
  </conditionalFormatting>
  <conditionalFormatting sqref="A43:F45">
    <cfRule type="expression" dxfId="228" priority="38">
      <formula>$M$119=0</formula>
    </cfRule>
  </conditionalFormatting>
  <conditionalFormatting sqref="A47:F51">
    <cfRule type="expression" dxfId="227" priority="37">
      <formula>$M$121=0</formula>
    </cfRule>
  </conditionalFormatting>
  <conditionalFormatting sqref="A52:F56">
    <cfRule type="expression" dxfId="226" priority="36">
      <formula>$M$123=0</formula>
    </cfRule>
  </conditionalFormatting>
  <conditionalFormatting sqref="A57:F61">
    <cfRule type="expression" dxfId="225" priority="13">
      <formula>$M$125=0</formula>
    </cfRule>
  </conditionalFormatting>
  <conditionalFormatting sqref="A63:F66">
    <cfRule type="expression" dxfId="224" priority="35">
      <formula>$M$128=0</formula>
    </cfRule>
  </conditionalFormatting>
  <conditionalFormatting sqref="A67:F70">
    <cfRule type="expression" dxfId="223" priority="34">
      <formula>$M$129=0</formula>
    </cfRule>
  </conditionalFormatting>
  <conditionalFormatting sqref="A71:F74">
    <cfRule type="expression" dxfId="222" priority="33">
      <formula>$M$130=0</formula>
    </cfRule>
  </conditionalFormatting>
  <conditionalFormatting sqref="A75:F78">
    <cfRule type="expression" dxfId="221" priority="32">
      <formula>$M$131=0</formula>
    </cfRule>
  </conditionalFormatting>
  <conditionalFormatting sqref="A79:F82">
    <cfRule type="expression" dxfId="220" priority="31">
      <formula>$M$132=0</formula>
    </cfRule>
  </conditionalFormatting>
  <conditionalFormatting sqref="A12:G17">
    <cfRule type="expression" dxfId="219" priority="25">
      <formula>$M$103=0</formula>
    </cfRule>
  </conditionalFormatting>
  <conditionalFormatting sqref="A18:G23">
    <cfRule type="expression" dxfId="218" priority="30">
      <formula>$M$106=0</formula>
    </cfRule>
  </conditionalFormatting>
  <conditionalFormatting sqref="A24:G29">
    <cfRule type="expression" dxfId="217" priority="28">
      <formula>$M$109=0</formula>
    </cfRule>
  </conditionalFormatting>
  <conditionalFormatting sqref="A30:G35">
    <cfRule type="expression" dxfId="216" priority="27">
      <formula>$M$112=0</formula>
    </cfRule>
  </conditionalFormatting>
  <conditionalFormatting sqref="A36:G41">
    <cfRule type="expression" dxfId="215" priority="26">
      <formula>$M$115=0</formula>
    </cfRule>
  </conditionalFormatting>
  <conditionalFormatting sqref="E3">
    <cfRule type="expression" dxfId="214" priority="58">
      <formula>$P$3=FALSE</formula>
    </cfRule>
  </conditionalFormatting>
  <conditionalFormatting sqref="E4:E7">
    <cfRule type="expression" dxfId="213" priority="57">
      <formula>AND($M4=TRUE,$O4=TRUE,ISBLANK(E4))</formula>
    </cfRule>
  </conditionalFormatting>
  <conditionalFormatting sqref="E12:E15">
    <cfRule type="expression" dxfId="212" priority="56">
      <formula>AND(ISBLANK(E12),$M$103=1)</formula>
    </cfRule>
  </conditionalFormatting>
  <conditionalFormatting sqref="E18:E21">
    <cfRule type="expression" dxfId="211" priority="55">
      <formula>AND(ISBLANK(E18),$M$106=1)</formula>
    </cfRule>
  </conditionalFormatting>
  <conditionalFormatting sqref="E24:E27">
    <cfRule type="expression" dxfId="210" priority="54">
      <formula>AND(ISBLANK(E24),$M$109=1)</formula>
    </cfRule>
  </conditionalFormatting>
  <conditionalFormatting sqref="E30:E33">
    <cfRule type="expression" dxfId="209" priority="53">
      <formula>AND(ISBLANK(E30),$M$112=1)</formula>
    </cfRule>
  </conditionalFormatting>
  <conditionalFormatting sqref="E36:E39">
    <cfRule type="expression" dxfId="208" priority="52">
      <formula>AND(ISBLANK(E36),$M$115=1)</formula>
    </cfRule>
  </conditionalFormatting>
  <conditionalFormatting sqref="E43:E45">
    <cfRule type="expression" dxfId="207" priority="51">
      <formula>AND(ISBLANK(E43),$M$119=1)</formula>
    </cfRule>
  </conditionalFormatting>
  <conditionalFormatting sqref="E47:E50">
    <cfRule type="expression" dxfId="206" priority="50">
      <formula>AND(ISBLANK(E47),$M$121=1)</formula>
    </cfRule>
  </conditionalFormatting>
  <conditionalFormatting sqref="E52:E55">
    <cfRule type="expression" dxfId="205" priority="49">
      <formula>AND(ISBLANK(E52),$M$123=1)</formula>
    </cfRule>
  </conditionalFormatting>
  <conditionalFormatting sqref="E57:E60">
    <cfRule type="expression" dxfId="204" priority="14">
      <formula>AND(ISBLANK(E57),$M$125=1)</formula>
    </cfRule>
  </conditionalFormatting>
  <conditionalFormatting sqref="E63:E66">
    <cfRule type="expression" dxfId="203" priority="48">
      <formula>AND(ISBLANK(E63),$M$128=1)</formula>
    </cfRule>
  </conditionalFormatting>
  <conditionalFormatting sqref="E67:E70">
    <cfRule type="expression" dxfId="202" priority="47">
      <formula>AND(ISBLANK(E67),$M$129=1)</formula>
    </cfRule>
  </conditionalFormatting>
  <conditionalFormatting sqref="E71:E74">
    <cfRule type="expression" dxfId="201" priority="46">
      <formula>AND(ISBLANK(E71),$M$130=1)</formula>
    </cfRule>
  </conditionalFormatting>
  <conditionalFormatting sqref="E75:E78">
    <cfRule type="expression" dxfId="200" priority="45">
      <formula>AND(ISBLANK(E75),$M$131=1)</formula>
    </cfRule>
  </conditionalFormatting>
  <conditionalFormatting sqref="E79:E82">
    <cfRule type="expression" dxfId="199" priority="44">
      <formula>AND(ISBLANK(E79),$M$132=1)</formula>
    </cfRule>
  </conditionalFormatting>
  <conditionalFormatting sqref="F21 F27 F33 F39 F15">
    <cfRule type="expression" dxfId="198" priority="41">
      <formula>OR($E15=$T$17,$E15=$T$18,$E16=$T$17,$E16=$T$18,$E17=$T$17,$E17=$T$18)</formula>
    </cfRule>
  </conditionalFormatting>
  <conditionalFormatting sqref="F18:G19 F24:G25 F30:G31 F36:G37 F12:G13">
    <cfRule type="expression" dxfId="197" priority="42">
      <formula>NOT(F12="")</formula>
    </cfRule>
  </conditionalFormatting>
  <conditionalFormatting sqref="G22 G28 G34 G40 G16">
    <cfRule type="expression" dxfId="196" priority="744">
      <formula>Q16=FALSE</formula>
    </cfRule>
  </conditionalFormatting>
  <conditionalFormatting sqref="G23 G29 G35 G41 G17">
    <cfRule type="expression" dxfId="195" priority="739">
      <formula>AND(Q17=FALSE,P16=TRUE,OR(E15=$T$17,E16=$T$17,E17=$T$17,E15=$T$18,E16=$T$18,E17=$T$18))</formula>
    </cfRule>
  </conditionalFormatting>
  <conditionalFormatting sqref="G15:H15 G21:H21 G27:H27 G33:H33 G39:H39">
    <cfRule type="expression" dxfId="194" priority="749">
      <formula>OR($E15=$T$17,$E15=$T$18,$E16=$T$17,$E16=$T$18,$E17=$T$17,$E17=$T$18)</formula>
    </cfRule>
  </conditionalFormatting>
  <conditionalFormatting sqref="G20:H20 G26:H26 G32:H32 G38:H38 G14:H14">
    <cfRule type="expression" dxfId="193" priority="40">
      <formula>OR($E15=$T$17,$E15=$T$18,$E16=$T$17,$E16=$T$18,$E17=$T$17,$E17=$T$18)</formula>
    </cfRule>
  </conditionalFormatting>
  <conditionalFormatting sqref="G21:H21 G27:H27 G33:H33 G39:H39 G15:H15">
    <cfRule type="expression" dxfId="192" priority="39">
      <formula>AND(ISBLANK(G15),OR($E15=$T$17,$E15=$T$18,$E16=$T$17,$E16=$T$18,$E17=$T$17,$E17=$T$18))</formula>
    </cfRule>
  </conditionalFormatting>
  <dataValidations disablePrompts="1" count="5">
    <dataValidation type="list" allowBlank="1" showInputMessage="1" showErrorMessage="1" errorTitle="Invalid Entry" error="The entry you have made is not allowed." promptTitle="Enter Number" prompt="Select the number of units you are applying to permit." sqref="E6" xr:uid="{00000000-0002-0000-0300-000000000000}">
      <formula1>$Q$4:$Q$6</formula1>
    </dataValidation>
    <dataValidation type="list" allowBlank="1" showInputMessage="1" showErrorMessage="1" errorTitle="Invalid Entry" error="You must select an engine type from the list." promptTitle="Select Engine Type" prompt="Using the drop-down box, select the type of engine from the list." sqref="E64 E80 E76 E72 E68" xr:uid="{00000000-0002-0000-0300-000001000000}">
      <formula1>$R$3:$R$7</formula1>
    </dataValidation>
    <dataValidation type="list" allowBlank="1" showInputMessage="1" showErrorMessage="1" errorTitle="Invalid Entry" error="The entry you have made is not allowed." promptTitle="Enter Number" prompt="Select the number of units you are applying to permit." sqref="E7 E4" xr:uid="{00000000-0002-0000-0300-000002000000}">
      <formula1>$Q$4:$Q$8</formula1>
    </dataValidation>
    <dataValidation type="list" allowBlank="1" showInputMessage="1" showErrorMessage="1" errorTitle="Invalid Entry" error="That entry is not allowed.  Select a fuel type from the list." promptTitle="Select Fuel" prompt="Select a fuel type from the drop-down list." sqref="E15:E17 E39:E41 E33:E35 E27:E29 E21:E23" xr:uid="{00000000-0002-0000-0300-000003000000}">
      <formula1>$T$12:$T$18</formula1>
    </dataValidation>
    <dataValidation type="list" allowBlank="1" showInputMessage="1" showErrorMessage="1" errorTitle="Invalid Entry" error="That entry is not allowed. Select a fuel type from the list." promptTitle="Select Fuel" prompt="Select a fuel type from the list." sqref="E50:E51 E60:E61 E55:E56" xr:uid="{00000000-0002-0000-0300-000004000000}">
      <formula1>$O$12:$O$13</formula1>
    </dataValidation>
  </dataValidations>
  <printOptions horizontalCentered="1"/>
  <pageMargins left="0.5" right="0.5" top="0.5" bottom="0.5" header="0.3" footer="0.3"/>
  <pageSetup scale="73" fitToHeight="0" orientation="landscape" r:id="rId1"/>
  <headerFooter>
    <oddFooter>&amp;L&amp;A&amp;RPage &amp;P</oddFooter>
  </headerFooter>
  <rowBreaks count="1" manualBreakCount="1">
    <brk id="132" max="4" man="1"/>
  </rowBreaks>
  <ignoredErrors>
    <ignoredError sqref="B104:B105 B107:B117 B122 B124:B126"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4897" r:id="rId4" name="Check Box 81">
              <controlPr defaultSize="0" autoFill="0" autoLine="0" autoPict="0">
                <anchor moveWithCells="1">
                  <from>
                    <xdr:col>3</xdr:col>
                    <xdr:colOff>2619375</xdr:colOff>
                    <xdr:row>7</xdr:row>
                    <xdr:rowOff>228600</xdr:rowOff>
                  </from>
                  <to>
                    <xdr:col>3</xdr:col>
                    <xdr:colOff>3171825</xdr:colOff>
                    <xdr:row>7</xdr:row>
                    <xdr:rowOff>361950</xdr:rowOff>
                  </to>
                </anchor>
              </controlPr>
            </control>
          </mc:Choice>
        </mc:AlternateContent>
        <mc:AlternateContent xmlns:mc="http://schemas.openxmlformats.org/markup-compatibility/2006">
          <mc:Choice Requires="x14">
            <control shapeId="34898" r:id="rId5" name="Check Box 82">
              <controlPr defaultSize="0" autoFill="0" autoLine="0" autoPict="0">
                <anchor moveWithCells="1">
                  <from>
                    <xdr:col>3</xdr:col>
                    <xdr:colOff>3190875</xdr:colOff>
                    <xdr:row>7</xdr:row>
                    <xdr:rowOff>228600</xdr:rowOff>
                  </from>
                  <to>
                    <xdr:col>3</xdr:col>
                    <xdr:colOff>3810000</xdr:colOff>
                    <xdr:row>7</xdr:row>
                    <xdr:rowOff>361950</xdr:rowOff>
                  </to>
                </anchor>
              </controlPr>
            </control>
          </mc:Choice>
        </mc:AlternateContent>
        <mc:AlternateContent xmlns:mc="http://schemas.openxmlformats.org/markup-compatibility/2006">
          <mc:Choice Requires="x14">
            <control shapeId="34903" r:id="rId6" name="Check Box 87">
              <controlPr defaultSize="0" autoFill="0" autoLine="0" autoPict="0">
                <anchor moveWithCells="1">
                  <from>
                    <xdr:col>3</xdr:col>
                    <xdr:colOff>2619375</xdr:colOff>
                    <xdr:row>5</xdr:row>
                    <xdr:rowOff>238125</xdr:rowOff>
                  </from>
                  <to>
                    <xdr:col>3</xdr:col>
                    <xdr:colOff>3171825</xdr:colOff>
                    <xdr:row>5</xdr:row>
                    <xdr:rowOff>371475</xdr:rowOff>
                  </to>
                </anchor>
              </controlPr>
            </control>
          </mc:Choice>
        </mc:AlternateContent>
        <mc:AlternateContent xmlns:mc="http://schemas.openxmlformats.org/markup-compatibility/2006">
          <mc:Choice Requires="x14">
            <control shapeId="34904" r:id="rId7" name="Check Box 88">
              <controlPr defaultSize="0" autoFill="0" autoLine="0" autoPict="0">
                <anchor moveWithCells="1">
                  <from>
                    <xdr:col>3</xdr:col>
                    <xdr:colOff>3190875</xdr:colOff>
                    <xdr:row>5</xdr:row>
                    <xdr:rowOff>238125</xdr:rowOff>
                  </from>
                  <to>
                    <xdr:col>3</xdr:col>
                    <xdr:colOff>3810000</xdr:colOff>
                    <xdr:row>5</xdr:row>
                    <xdr:rowOff>371475</xdr:rowOff>
                  </to>
                </anchor>
              </controlPr>
            </control>
          </mc:Choice>
        </mc:AlternateContent>
        <mc:AlternateContent xmlns:mc="http://schemas.openxmlformats.org/markup-compatibility/2006">
          <mc:Choice Requires="x14">
            <control shapeId="34947" r:id="rId8" name="Check Box 131">
              <controlPr defaultSize="0" autoFill="0" autoLine="0" autoPict="0">
                <anchor moveWithCells="1">
                  <from>
                    <xdr:col>3</xdr:col>
                    <xdr:colOff>2619375</xdr:colOff>
                    <xdr:row>6</xdr:row>
                    <xdr:rowOff>228600</xdr:rowOff>
                  </from>
                  <to>
                    <xdr:col>3</xdr:col>
                    <xdr:colOff>3171825</xdr:colOff>
                    <xdr:row>6</xdr:row>
                    <xdr:rowOff>361950</xdr:rowOff>
                  </to>
                </anchor>
              </controlPr>
            </control>
          </mc:Choice>
        </mc:AlternateContent>
        <mc:AlternateContent xmlns:mc="http://schemas.openxmlformats.org/markup-compatibility/2006">
          <mc:Choice Requires="x14">
            <control shapeId="34948" r:id="rId9" name="Check Box 132">
              <controlPr defaultSize="0" autoFill="0" autoLine="0" autoPict="0">
                <anchor moveWithCells="1">
                  <from>
                    <xdr:col>3</xdr:col>
                    <xdr:colOff>3190875</xdr:colOff>
                    <xdr:row>6</xdr:row>
                    <xdr:rowOff>228600</xdr:rowOff>
                  </from>
                  <to>
                    <xdr:col>3</xdr:col>
                    <xdr:colOff>3810000</xdr:colOff>
                    <xdr:row>6</xdr:row>
                    <xdr:rowOff>361950</xdr:rowOff>
                  </to>
                </anchor>
              </controlPr>
            </control>
          </mc:Choice>
        </mc:AlternateContent>
        <mc:AlternateContent xmlns:mc="http://schemas.openxmlformats.org/markup-compatibility/2006">
          <mc:Choice Requires="x14">
            <control shapeId="34949" r:id="rId10" name="Check Box 133">
              <controlPr defaultSize="0" autoFill="0" autoLine="0" autoPict="0">
                <anchor moveWithCells="1">
                  <from>
                    <xdr:col>3</xdr:col>
                    <xdr:colOff>2619375</xdr:colOff>
                    <xdr:row>4</xdr:row>
                    <xdr:rowOff>238125</xdr:rowOff>
                  </from>
                  <to>
                    <xdr:col>3</xdr:col>
                    <xdr:colOff>3171825</xdr:colOff>
                    <xdr:row>4</xdr:row>
                    <xdr:rowOff>371475</xdr:rowOff>
                  </to>
                </anchor>
              </controlPr>
            </control>
          </mc:Choice>
        </mc:AlternateContent>
        <mc:AlternateContent xmlns:mc="http://schemas.openxmlformats.org/markup-compatibility/2006">
          <mc:Choice Requires="x14">
            <control shapeId="34950" r:id="rId11" name="Check Box 134">
              <controlPr defaultSize="0" autoFill="0" autoLine="0" autoPict="0">
                <anchor moveWithCells="1">
                  <from>
                    <xdr:col>3</xdr:col>
                    <xdr:colOff>3190875</xdr:colOff>
                    <xdr:row>4</xdr:row>
                    <xdr:rowOff>238125</xdr:rowOff>
                  </from>
                  <to>
                    <xdr:col>3</xdr:col>
                    <xdr:colOff>3810000</xdr:colOff>
                    <xdr:row>4</xdr:row>
                    <xdr:rowOff>371475</xdr:rowOff>
                  </to>
                </anchor>
              </controlPr>
            </control>
          </mc:Choice>
        </mc:AlternateContent>
        <mc:AlternateContent xmlns:mc="http://schemas.openxmlformats.org/markup-compatibility/2006">
          <mc:Choice Requires="x14">
            <control shapeId="34951" r:id="rId12" name="Check Box 135">
              <controlPr defaultSize="0" autoFill="0" autoLine="0" autoPict="0">
                <anchor moveWithCells="1">
                  <from>
                    <xdr:col>3</xdr:col>
                    <xdr:colOff>2619375</xdr:colOff>
                    <xdr:row>3</xdr:row>
                    <xdr:rowOff>161925</xdr:rowOff>
                  </from>
                  <to>
                    <xdr:col>3</xdr:col>
                    <xdr:colOff>3171825</xdr:colOff>
                    <xdr:row>3</xdr:row>
                    <xdr:rowOff>266700</xdr:rowOff>
                  </to>
                </anchor>
              </controlPr>
            </control>
          </mc:Choice>
        </mc:AlternateContent>
        <mc:AlternateContent xmlns:mc="http://schemas.openxmlformats.org/markup-compatibility/2006">
          <mc:Choice Requires="x14">
            <control shapeId="34952" r:id="rId13" name="Check Box 136">
              <controlPr defaultSize="0" autoFill="0" autoLine="0" autoPict="0">
                <anchor moveWithCells="1">
                  <from>
                    <xdr:col>3</xdr:col>
                    <xdr:colOff>3190875</xdr:colOff>
                    <xdr:row>3</xdr:row>
                    <xdr:rowOff>161925</xdr:rowOff>
                  </from>
                  <to>
                    <xdr:col>3</xdr:col>
                    <xdr:colOff>3810000</xdr:colOff>
                    <xdr:row>3</xdr:row>
                    <xdr:rowOff>266700</xdr:rowOff>
                  </to>
                </anchor>
              </controlPr>
            </control>
          </mc:Choice>
        </mc:AlternateContent>
        <mc:AlternateContent xmlns:mc="http://schemas.openxmlformats.org/markup-compatibility/2006">
          <mc:Choice Requires="x14">
            <control shapeId="34954" r:id="rId14" name="Check Box 138">
              <controlPr defaultSize="0" autoFill="0" autoLine="0" autoPict="0">
                <anchor moveWithCells="1">
                  <from>
                    <xdr:col>4</xdr:col>
                    <xdr:colOff>133350</xdr:colOff>
                    <xdr:row>2</xdr:row>
                    <xdr:rowOff>104775</xdr:rowOff>
                  </from>
                  <to>
                    <xdr:col>4</xdr:col>
                    <xdr:colOff>1314450</xdr:colOff>
                    <xdr:row>2</xdr:row>
                    <xdr:rowOff>295275</xdr:rowOff>
                  </to>
                </anchor>
              </controlPr>
            </control>
          </mc:Choice>
        </mc:AlternateContent>
        <mc:AlternateContent xmlns:mc="http://schemas.openxmlformats.org/markup-compatibility/2006">
          <mc:Choice Requires="x14">
            <control shapeId="34955" r:id="rId15" name="Check Box 139">
              <controlPr defaultSize="0" autoFill="0" autoLine="0" autoPict="0">
                <anchor moveWithCells="1">
                  <from>
                    <xdr:col>4</xdr:col>
                    <xdr:colOff>1352550</xdr:colOff>
                    <xdr:row>2</xdr:row>
                    <xdr:rowOff>104775</xdr:rowOff>
                  </from>
                  <to>
                    <xdr:col>4</xdr:col>
                    <xdr:colOff>2686050</xdr:colOff>
                    <xdr:row>2</xdr:row>
                    <xdr:rowOff>295275</xdr:rowOff>
                  </to>
                </anchor>
              </controlPr>
            </control>
          </mc:Choice>
        </mc:AlternateContent>
        <mc:AlternateContent xmlns:mc="http://schemas.openxmlformats.org/markup-compatibility/2006">
          <mc:Choice Requires="x14">
            <control shapeId="34956" r:id="rId16" name="Check Box 140">
              <controlPr defaultSize="0" autoFill="0" autoLine="0" autoPict="0">
                <anchor moveWithCells="1">
                  <from>
                    <xdr:col>4</xdr:col>
                    <xdr:colOff>2705100</xdr:colOff>
                    <xdr:row>2</xdr:row>
                    <xdr:rowOff>104775</xdr:rowOff>
                  </from>
                  <to>
                    <xdr:col>5</xdr:col>
                    <xdr:colOff>123825</xdr:colOff>
                    <xdr:row>2</xdr:row>
                    <xdr:rowOff>295275</xdr:rowOff>
                  </to>
                </anchor>
              </controlPr>
            </control>
          </mc:Choice>
        </mc:AlternateContent>
        <mc:AlternateContent xmlns:mc="http://schemas.openxmlformats.org/markup-compatibility/2006">
          <mc:Choice Requires="x14">
            <control shapeId="34996" r:id="rId17" name="Check Box 180">
              <controlPr defaultSize="0" autoFill="0" autoLine="0" autoPict="0">
                <anchor moveWithCells="1">
                  <from>
                    <xdr:col>6</xdr:col>
                    <xdr:colOff>47625</xdr:colOff>
                    <xdr:row>15</xdr:row>
                    <xdr:rowOff>47625</xdr:rowOff>
                  </from>
                  <to>
                    <xdr:col>6</xdr:col>
                    <xdr:colOff>619125</xdr:colOff>
                    <xdr:row>15</xdr:row>
                    <xdr:rowOff>219075</xdr:rowOff>
                  </to>
                </anchor>
              </controlPr>
            </control>
          </mc:Choice>
        </mc:AlternateContent>
        <mc:AlternateContent xmlns:mc="http://schemas.openxmlformats.org/markup-compatibility/2006">
          <mc:Choice Requires="x14">
            <control shapeId="34997" r:id="rId18" name="Check Box 181">
              <controlPr defaultSize="0" autoFill="0" autoLine="0" autoPict="0">
                <anchor moveWithCells="1">
                  <from>
                    <xdr:col>6</xdr:col>
                    <xdr:colOff>638175</xdr:colOff>
                    <xdr:row>15</xdr:row>
                    <xdr:rowOff>47625</xdr:rowOff>
                  </from>
                  <to>
                    <xdr:col>7</xdr:col>
                    <xdr:colOff>38100</xdr:colOff>
                    <xdr:row>15</xdr:row>
                    <xdr:rowOff>219075</xdr:rowOff>
                  </to>
                </anchor>
              </controlPr>
            </control>
          </mc:Choice>
        </mc:AlternateContent>
        <mc:AlternateContent xmlns:mc="http://schemas.openxmlformats.org/markup-compatibility/2006">
          <mc:Choice Requires="x14">
            <control shapeId="35001" r:id="rId19" name="Check Box 185">
              <controlPr defaultSize="0" autoFill="0" autoLine="0" autoPict="0">
                <anchor moveWithCells="1">
                  <from>
                    <xdr:col>6</xdr:col>
                    <xdr:colOff>47625</xdr:colOff>
                    <xdr:row>16</xdr:row>
                    <xdr:rowOff>47625</xdr:rowOff>
                  </from>
                  <to>
                    <xdr:col>6</xdr:col>
                    <xdr:colOff>619125</xdr:colOff>
                    <xdr:row>16</xdr:row>
                    <xdr:rowOff>219075</xdr:rowOff>
                  </to>
                </anchor>
              </controlPr>
            </control>
          </mc:Choice>
        </mc:AlternateContent>
        <mc:AlternateContent xmlns:mc="http://schemas.openxmlformats.org/markup-compatibility/2006">
          <mc:Choice Requires="x14">
            <control shapeId="35002" r:id="rId20" name="Check Box 186">
              <controlPr defaultSize="0" autoFill="0" autoLine="0" autoPict="0">
                <anchor moveWithCells="1">
                  <from>
                    <xdr:col>6</xdr:col>
                    <xdr:colOff>638175</xdr:colOff>
                    <xdr:row>16</xdr:row>
                    <xdr:rowOff>47625</xdr:rowOff>
                  </from>
                  <to>
                    <xdr:col>7</xdr:col>
                    <xdr:colOff>38100</xdr:colOff>
                    <xdr:row>16</xdr:row>
                    <xdr:rowOff>219075</xdr:rowOff>
                  </to>
                </anchor>
              </controlPr>
            </control>
          </mc:Choice>
        </mc:AlternateContent>
        <mc:AlternateContent xmlns:mc="http://schemas.openxmlformats.org/markup-compatibility/2006">
          <mc:Choice Requires="x14">
            <control shapeId="35006" r:id="rId21" name="Check Box 190">
              <controlPr defaultSize="0" autoFill="0" autoLine="0" autoPict="0">
                <anchor moveWithCells="1">
                  <from>
                    <xdr:col>6</xdr:col>
                    <xdr:colOff>47625</xdr:colOff>
                    <xdr:row>21</xdr:row>
                    <xdr:rowOff>47625</xdr:rowOff>
                  </from>
                  <to>
                    <xdr:col>6</xdr:col>
                    <xdr:colOff>619125</xdr:colOff>
                    <xdr:row>21</xdr:row>
                    <xdr:rowOff>219075</xdr:rowOff>
                  </to>
                </anchor>
              </controlPr>
            </control>
          </mc:Choice>
        </mc:AlternateContent>
        <mc:AlternateContent xmlns:mc="http://schemas.openxmlformats.org/markup-compatibility/2006">
          <mc:Choice Requires="x14">
            <control shapeId="35007" r:id="rId22" name="Check Box 191">
              <controlPr defaultSize="0" autoFill="0" autoLine="0" autoPict="0">
                <anchor moveWithCells="1">
                  <from>
                    <xdr:col>6</xdr:col>
                    <xdr:colOff>638175</xdr:colOff>
                    <xdr:row>21</xdr:row>
                    <xdr:rowOff>47625</xdr:rowOff>
                  </from>
                  <to>
                    <xdr:col>7</xdr:col>
                    <xdr:colOff>38100</xdr:colOff>
                    <xdr:row>21</xdr:row>
                    <xdr:rowOff>219075</xdr:rowOff>
                  </to>
                </anchor>
              </controlPr>
            </control>
          </mc:Choice>
        </mc:AlternateContent>
        <mc:AlternateContent xmlns:mc="http://schemas.openxmlformats.org/markup-compatibility/2006">
          <mc:Choice Requires="x14">
            <control shapeId="35008" r:id="rId23" name="Check Box 192">
              <controlPr defaultSize="0" autoFill="0" autoLine="0" autoPict="0">
                <anchor moveWithCells="1">
                  <from>
                    <xdr:col>6</xdr:col>
                    <xdr:colOff>47625</xdr:colOff>
                    <xdr:row>22</xdr:row>
                    <xdr:rowOff>47625</xdr:rowOff>
                  </from>
                  <to>
                    <xdr:col>6</xdr:col>
                    <xdr:colOff>619125</xdr:colOff>
                    <xdr:row>22</xdr:row>
                    <xdr:rowOff>219075</xdr:rowOff>
                  </to>
                </anchor>
              </controlPr>
            </control>
          </mc:Choice>
        </mc:AlternateContent>
        <mc:AlternateContent xmlns:mc="http://schemas.openxmlformats.org/markup-compatibility/2006">
          <mc:Choice Requires="x14">
            <control shapeId="35009" r:id="rId24" name="Check Box 193">
              <controlPr defaultSize="0" autoFill="0" autoLine="0" autoPict="0">
                <anchor moveWithCells="1">
                  <from>
                    <xdr:col>6</xdr:col>
                    <xdr:colOff>638175</xdr:colOff>
                    <xdr:row>22</xdr:row>
                    <xdr:rowOff>47625</xdr:rowOff>
                  </from>
                  <to>
                    <xdr:col>7</xdr:col>
                    <xdr:colOff>38100</xdr:colOff>
                    <xdr:row>22</xdr:row>
                    <xdr:rowOff>219075</xdr:rowOff>
                  </to>
                </anchor>
              </controlPr>
            </control>
          </mc:Choice>
        </mc:AlternateContent>
        <mc:AlternateContent xmlns:mc="http://schemas.openxmlformats.org/markup-compatibility/2006">
          <mc:Choice Requires="x14">
            <control shapeId="35010" r:id="rId25" name="Check Box 194">
              <controlPr defaultSize="0" autoFill="0" autoLine="0" autoPict="0">
                <anchor moveWithCells="1">
                  <from>
                    <xdr:col>6</xdr:col>
                    <xdr:colOff>47625</xdr:colOff>
                    <xdr:row>27</xdr:row>
                    <xdr:rowOff>47625</xdr:rowOff>
                  </from>
                  <to>
                    <xdr:col>6</xdr:col>
                    <xdr:colOff>619125</xdr:colOff>
                    <xdr:row>27</xdr:row>
                    <xdr:rowOff>219075</xdr:rowOff>
                  </to>
                </anchor>
              </controlPr>
            </control>
          </mc:Choice>
        </mc:AlternateContent>
        <mc:AlternateContent xmlns:mc="http://schemas.openxmlformats.org/markup-compatibility/2006">
          <mc:Choice Requires="x14">
            <control shapeId="35011" r:id="rId26" name="Check Box 195">
              <controlPr defaultSize="0" autoFill="0" autoLine="0" autoPict="0">
                <anchor moveWithCells="1">
                  <from>
                    <xdr:col>6</xdr:col>
                    <xdr:colOff>638175</xdr:colOff>
                    <xdr:row>27</xdr:row>
                    <xdr:rowOff>47625</xdr:rowOff>
                  </from>
                  <to>
                    <xdr:col>7</xdr:col>
                    <xdr:colOff>38100</xdr:colOff>
                    <xdr:row>27</xdr:row>
                    <xdr:rowOff>219075</xdr:rowOff>
                  </to>
                </anchor>
              </controlPr>
            </control>
          </mc:Choice>
        </mc:AlternateContent>
        <mc:AlternateContent xmlns:mc="http://schemas.openxmlformats.org/markup-compatibility/2006">
          <mc:Choice Requires="x14">
            <control shapeId="35012" r:id="rId27" name="Check Box 196">
              <controlPr defaultSize="0" autoFill="0" autoLine="0" autoPict="0">
                <anchor moveWithCells="1">
                  <from>
                    <xdr:col>6</xdr:col>
                    <xdr:colOff>47625</xdr:colOff>
                    <xdr:row>28</xdr:row>
                    <xdr:rowOff>47625</xdr:rowOff>
                  </from>
                  <to>
                    <xdr:col>6</xdr:col>
                    <xdr:colOff>619125</xdr:colOff>
                    <xdr:row>28</xdr:row>
                    <xdr:rowOff>219075</xdr:rowOff>
                  </to>
                </anchor>
              </controlPr>
            </control>
          </mc:Choice>
        </mc:AlternateContent>
        <mc:AlternateContent xmlns:mc="http://schemas.openxmlformats.org/markup-compatibility/2006">
          <mc:Choice Requires="x14">
            <control shapeId="35013" r:id="rId28" name="Check Box 197">
              <controlPr defaultSize="0" autoFill="0" autoLine="0" autoPict="0">
                <anchor moveWithCells="1">
                  <from>
                    <xdr:col>6</xdr:col>
                    <xdr:colOff>638175</xdr:colOff>
                    <xdr:row>28</xdr:row>
                    <xdr:rowOff>47625</xdr:rowOff>
                  </from>
                  <to>
                    <xdr:col>7</xdr:col>
                    <xdr:colOff>38100</xdr:colOff>
                    <xdr:row>28</xdr:row>
                    <xdr:rowOff>219075</xdr:rowOff>
                  </to>
                </anchor>
              </controlPr>
            </control>
          </mc:Choice>
        </mc:AlternateContent>
        <mc:AlternateContent xmlns:mc="http://schemas.openxmlformats.org/markup-compatibility/2006">
          <mc:Choice Requires="x14">
            <control shapeId="35014" r:id="rId29" name="Check Box 198">
              <controlPr defaultSize="0" autoFill="0" autoLine="0" autoPict="0">
                <anchor moveWithCells="1">
                  <from>
                    <xdr:col>6</xdr:col>
                    <xdr:colOff>47625</xdr:colOff>
                    <xdr:row>33</xdr:row>
                    <xdr:rowOff>47625</xdr:rowOff>
                  </from>
                  <to>
                    <xdr:col>6</xdr:col>
                    <xdr:colOff>619125</xdr:colOff>
                    <xdr:row>33</xdr:row>
                    <xdr:rowOff>219075</xdr:rowOff>
                  </to>
                </anchor>
              </controlPr>
            </control>
          </mc:Choice>
        </mc:AlternateContent>
        <mc:AlternateContent xmlns:mc="http://schemas.openxmlformats.org/markup-compatibility/2006">
          <mc:Choice Requires="x14">
            <control shapeId="35015" r:id="rId30" name="Check Box 199">
              <controlPr defaultSize="0" autoFill="0" autoLine="0" autoPict="0">
                <anchor moveWithCells="1">
                  <from>
                    <xdr:col>6</xdr:col>
                    <xdr:colOff>638175</xdr:colOff>
                    <xdr:row>33</xdr:row>
                    <xdr:rowOff>47625</xdr:rowOff>
                  </from>
                  <to>
                    <xdr:col>7</xdr:col>
                    <xdr:colOff>38100</xdr:colOff>
                    <xdr:row>33</xdr:row>
                    <xdr:rowOff>219075</xdr:rowOff>
                  </to>
                </anchor>
              </controlPr>
            </control>
          </mc:Choice>
        </mc:AlternateContent>
        <mc:AlternateContent xmlns:mc="http://schemas.openxmlformats.org/markup-compatibility/2006">
          <mc:Choice Requires="x14">
            <control shapeId="35016" r:id="rId31" name="Check Box 200">
              <controlPr defaultSize="0" autoFill="0" autoLine="0" autoPict="0">
                <anchor moveWithCells="1">
                  <from>
                    <xdr:col>6</xdr:col>
                    <xdr:colOff>47625</xdr:colOff>
                    <xdr:row>34</xdr:row>
                    <xdr:rowOff>47625</xdr:rowOff>
                  </from>
                  <to>
                    <xdr:col>6</xdr:col>
                    <xdr:colOff>619125</xdr:colOff>
                    <xdr:row>34</xdr:row>
                    <xdr:rowOff>219075</xdr:rowOff>
                  </to>
                </anchor>
              </controlPr>
            </control>
          </mc:Choice>
        </mc:AlternateContent>
        <mc:AlternateContent xmlns:mc="http://schemas.openxmlformats.org/markup-compatibility/2006">
          <mc:Choice Requires="x14">
            <control shapeId="35017" r:id="rId32" name="Check Box 201">
              <controlPr defaultSize="0" autoFill="0" autoLine="0" autoPict="0">
                <anchor moveWithCells="1">
                  <from>
                    <xdr:col>6</xdr:col>
                    <xdr:colOff>638175</xdr:colOff>
                    <xdr:row>34</xdr:row>
                    <xdr:rowOff>47625</xdr:rowOff>
                  </from>
                  <to>
                    <xdr:col>7</xdr:col>
                    <xdr:colOff>38100</xdr:colOff>
                    <xdr:row>34</xdr:row>
                    <xdr:rowOff>219075</xdr:rowOff>
                  </to>
                </anchor>
              </controlPr>
            </control>
          </mc:Choice>
        </mc:AlternateContent>
        <mc:AlternateContent xmlns:mc="http://schemas.openxmlformats.org/markup-compatibility/2006">
          <mc:Choice Requires="x14">
            <control shapeId="35018" r:id="rId33" name="Check Box 202">
              <controlPr defaultSize="0" autoFill="0" autoLine="0" autoPict="0">
                <anchor moveWithCells="1">
                  <from>
                    <xdr:col>6</xdr:col>
                    <xdr:colOff>47625</xdr:colOff>
                    <xdr:row>39</xdr:row>
                    <xdr:rowOff>47625</xdr:rowOff>
                  </from>
                  <to>
                    <xdr:col>6</xdr:col>
                    <xdr:colOff>619125</xdr:colOff>
                    <xdr:row>39</xdr:row>
                    <xdr:rowOff>219075</xdr:rowOff>
                  </to>
                </anchor>
              </controlPr>
            </control>
          </mc:Choice>
        </mc:AlternateContent>
        <mc:AlternateContent xmlns:mc="http://schemas.openxmlformats.org/markup-compatibility/2006">
          <mc:Choice Requires="x14">
            <control shapeId="35019" r:id="rId34" name="Check Box 203">
              <controlPr defaultSize="0" autoFill="0" autoLine="0" autoPict="0">
                <anchor moveWithCells="1">
                  <from>
                    <xdr:col>6</xdr:col>
                    <xdr:colOff>638175</xdr:colOff>
                    <xdr:row>39</xdr:row>
                    <xdr:rowOff>47625</xdr:rowOff>
                  </from>
                  <to>
                    <xdr:col>7</xdr:col>
                    <xdr:colOff>38100</xdr:colOff>
                    <xdr:row>39</xdr:row>
                    <xdr:rowOff>219075</xdr:rowOff>
                  </to>
                </anchor>
              </controlPr>
            </control>
          </mc:Choice>
        </mc:AlternateContent>
        <mc:AlternateContent xmlns:mc="http://schemas.openxmlformats.org/markup-compatibility/2006">
          <mc:Choice Requires="x14">
            <control shapeId="35020" r:id="rId35" name="Check Box 204">
              <controlPr defaultSize="0" autoFill="0" autoLine="0" autoPict="0">
                <anchor moveWithCells="1">
                  <from>
                    <xdr:col>6</xdr:col>
                    <xdr:colOff>47625</xdr:colOff>
                    <xdr:row>40</xdr:row>
                    <xdr:rowOff>47625</xdr:rowOff>
                  </from>
                  <to>
                    <xdr:col>6</xdr:col>
                    <xdr:colOff>619125</xdr:colOff>
                    <xdr:row>40</xdr:row>
                    <xdr:rowOff>219075</xdr:rowOff>
                  </to>
                </anchor>
              </controlPr>
            </control>
          </mc:Choice>
        </mc:AlternateContent>
        <mc:AlternateContent xmlns:mc="http://schemas.openxmlformats.org/markup-compatibility/2006">
          <mc:Choice Requires="x14">
            <control shapeId="35021" r:id="rId36" name="Check Box 205">
              <controlPr defaultSize="0" autoFill="0" autoLine="0" autoPict="0">
                <anchor moveWithCells="1">
                  <from>
                    <xdr:col>6</xdr:col>
                    <xdr:colOff>638175</xdr:colOff>
                    <xdr:row>40</xdr:row>
                    <xdr:rowOff>47625</xdr:rowOff>
                  </from>
                  <to>
                    <xdr:col>7</xdr:col>
                    <xdr:colOff>38100</xdr:colOff>
                    <xdr:row>40</xdr:row>
                    <xdr:rowOff>219075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002060"/>
    <pageSetUpPr fitToPage="1"/>
  </sheetPr>
  <dimension ref="A1:AG129"/>
  <sheetViews>
    <sheetView showGridLines="0" zoomScaleNormal="100" zoomScalePageLayoutView="85" workbookViewId="0">
      <selection sqref="A1:L1"/>
    </sheetView>
  </sheetViews>
  <sheetFormatPr defaultColWidth="5.28515625" defaultRowHeight="14.25" x14ac:dyDescent="0.25"/>
  <cols>
    <col min="1" max="1" width="10.42578125" style="125" customWidth="1"/>
    <col min="2" max="2" width="29.85546875" style="125" customWidth="1"/>
    <col min="3" max="4" width="13.7109375" style="179" customWidth="1"/>
    <col min="5" max="10" width="13.7109375" style="180" customWidth="1"/>
    <col min="11" max="12" width="11.7109375" style="180" customWidth="1"/>
    <col min="13" max="13" width="4" style="48" customWidth="1"/>
    <col min="14" max="14" width="47.85546875" style="48" customWidth="1"/>
    <col min="15" max="31" width="5.28515625" style="48"/>
    <col min="32" max="32" width="13.28515625" style="48" customWidth="1"/>
    <col min="33" max="33" width="15" style="48" customWidth="1"/>
    <col min="34" max="16384" width="5.28515625" style="48"/>
  </cols>
  <sheetData>
    <row r="1" spans="1:33" s="69" customFormat="1" ht="26.25" customHeight="1" thickBot="1" x14ac:dyDescent="0.3">
      <c r="A1" s="1255" t="s">
        <v>2008</v>
      </c>
      <c r="B1" s="1255"/>
      <c r="C1" s="1255"/>
      <c r="D1" s="1255"/>
      <c r="E1" s="1255"/>
      <c r="F1" s="1255"/>
      <c r="G1" s="1255"/>
      <c r="H1" s="1255"/>
      <c r="I1" s="1255"/>
      <c r="J1" s="1255"/>
      <c r="K1" s="1255"/>
      <c r="L1" s="1255"/>
    </row>
    <row r="2" spans="1:33" s="68" customFormat="1" ht="54.95" customHeight="1" x14ac:dyDescent="0.25">
      <c r="A2" s="1257" t="s">
        <v>1887</v>
      </c>
      <c r="B2" s="1257"/>
      <c r="C2" s="1257"/>
      <c r="D2" s="1257"/>
      <c r="E2" s="1257"/>
      <c r="F2" s="1257"/>
      <c r="G2" s="1257"/>
      <c r="H2" s="1257"/>
      <c r="I2" s="1257"/>
      <c r="J2" s="1257"/>
      <c r="K2" s="1257"/>
      <c r="L2" s="1257"/>
    </row>
    <row r="3" spans="1:33" s="160" customFormat="1" ht="50.1" customHeight="1" x14ac:dyDescent="0.25">
      <c r="A3" s="1256" t="s">
        <v>1888</v>
      </c>
      <c r="B3" s="1256"/>
      <c r="C3" s="1256"/>
      <c r="D3" s="1256"/>
      <c r="E3" s="1256"/>
      <c r="F3" s="1256"/>
      <c r="G3" s="1256"/>
      <c r="H3" s="1256"/>
      <c r="I3" s="1256"/>
      <c r="J3" s="1256"/>
      <c r="K3" s="1256"/>
      <c r="L3" s="1256"/>
    </row>
    <row r="4" spans="1:33" s="160" customFormat="1" ht="35.1" customHeight="1" x14ac:dyDescent="0.25">
      <c r="A4" s="166">
        <v>1</v>
      </c>
      <c r="B4" s="1256" t="s">
        <v>1667</v>
      </c>
      <c r="C4" s="1256"/>
      <c r="D4" s="1256"/>
      <c r="E4" s="1256"/>
      <c r="F4" s="1256"/>
      <c r="G4" s="1256"/>
      <c r="H4" s="1256"/>
      <c r="I4" s="1256"/>
      <c r="J4" s="1256"/>
      <c r="K4" s="1256"/>
      <c r="L4" s="1256"/>
    </row>
    <row r="5" spans="1:33" s="160" customFormat="1" ht="20.100000000000001" customHeight="1" x14ac:dyDescent="0.25">
      <c r="A5" s="166">
        <v>2</v>
      </c>
      <c r="B5" s="1256" t="s">
        <v>1668</v>
      </c>
      <c r="C5" s="1256"/>
      <c r="D5" s="1256"/>
      <c r="E5" s="1256"/>
      <c r="F5" s="1256"/>
      <c r="G5" s="1256"/>
      <c r="H5" s="1256"/>
      <c r="I5" s="1256"/>
      <c r="J5" s="1256"/>
      <c r="K5" s="1256"/>
      <c r="L5" s="1256"/>
    </row>
    <row r="6" spans="1:33" s="160" customFormat="1" ht="35.1" customHeight="1" x14ac:dyDescent="0.25">
      <c r="A6" s="166">
        <v>3</v>
      </c>
      <c r="B6" s="1256" t="s">
        <v>1762</v>
      </c>
      <c r="C6" s="1256"/>
      <c r="D6" s="1256"/>
      <c r="E6" s="1256"/>
      <c r="F6" s="1256"/>
      <c r="G6" s="1256"/>
      <c r="H6" s="1256"/>
      <c r="I6" s="1256"/>
      <c r="J6" s="1256"/>
      <c r="K6" s="1256"/>
      <c r="L6" s="1256"/>
    </row>
    <row r="7" spans="1:33" s="160" customFormat="1" ht="35.1" customHeight="1" x14ac:dyDescent="0.25">
      <c r="A7" s="166">
        <v>4</v>
      </c>
      <c r="B7" s="1256" t="s">
        <v>1664</v>
      </c>
      <c r="C7" s="1256"/>
      <c r="D7" s="1256"/>
      <c r="E7" s="1256"/>
      <c r="F7" s="1256"/>
      <c r="G7" s="1256"/>
      <c r="H7" s="1256"/>
      <c r="I7" s="1256"/>
      <c r="J7" s="1256"/>
      <c r="K7" s="1256"/>
      <c r="L7" s="1256"/>
    </row>
    <row r="8" spans="1:33" s="160" customFormat="1" ht="35.1" customHeight="1" x14ac:dyDescent="0.25">
      <c r="A8" s="166">
        <v>5</v>
      </c>
      <c r="B8" s="1256" t="s">
        <v>1665</v>
      </c>
      <c r="C8" s="1256"/>
      <c r="D8" s="1256"/>
      <c r="E8" s="1256"/>
      <c r="F8" s="1256"/>
      <c r="G8" s="1256"/>
      <c r="H8" s="1256"/>
      <c r="I8" s="1256"/>
      <c r="J8" s="1256"/>
      <c r="K8" s="1256"/>
      <c r="L8" s="1256"/>
    </row>
    <row r="9" spans="1:33" s="160" customFormat="1" ht="50.1" customHeight="1" x14ac:dyDescent="0.25">
      <c r="A9" s="166">
        <v>6</v>
      </c>
      <c r="B9" s="1256" t="s">
        <v>1669</v>
      </c>
      <c r="C9" s="1256"/>
      <c r="D9" s="1256"/>
      <c r="E9" s="1256"/>
      <c r="F9" s="1256"/>
      <c r="G9" s="1256"/>
      <c r="H9" s="1256"/>
      <c r="I9" s="1256"/>
      <c r="J9" s="1256"/>
      <c r="K9" s="1256"/>
      <c r="L9" s="1256"/>
    </row>
    <row r="10" spans="1:33" s="168" customFormat="1" ht="20.100000000000001" customHeight="1" x14ac:dyDescent="0.25">
      <c r="A10" s="167">
        <v>7</v>
      </c>
      <c r="B10" s="1276" t="s">
        <v>1666</v>
      </c>
      <c r="C10" s="1276"/>
      <c r="D10" s="1276"/>
      <c r="E10" s="1276"/>
      <c r="F10" s="1276"/>
      <c r="G10" s="1276"/>
      <c r="H10" s="1276"/>
      <c r="I10" s="1276"/>
      <c r="J10" s="1276"/>
      <c r="K10" s="1276"/>
      <c r="L10" s="1276"/>
    </row>
    <row r="11" spans="1:33" s="68" customFormat="1" ht="9" customHeight="1" thickBot="1" x14ac:dyDescent="0.3">
      <c r="A11" s="78"/>
      <c r="B11" s="78"/>
      <c r="C11" s="78"/>
      <c r="D11" s="78"/>
      <c r="E11" s="78"/>
      <c r="F11" s="78"/>
      <c r="G11" s="78"/>
      <c r="H11" s="78"/>
      <c r="I11" s="78"/>
      <c r="J11" s="78"/>
      <c r="K11" s="78"/>
      <c r="L11" s="78"/>
    </row>
    <row r="12" spans="1:33" ht="30" customHeight="1" x14ac:dyDescent="0.25">
      <c r="A12" s="1258" t="s">
        <v>1407</v>
      </c>
      <c r="B12" s="1260" t="s">
        <v>1410</v>
      </c>
      <c r="C12" s="70" t="s">
        <v>272</v>
      </c>
      <c r="D12" s="71" t="s">
        <v>273</v>
      </c>
      <c r="E12" s="72" t="s">
        <v>274</v>
      </c>
      <c r="F12" s="72" t="s">
        <v>275</v>
      </c>
      <c r="G12" s="72" t="s">
        <v>276</v>
      </c>
      <c r="H12" s="72" t="s">
        <v>288</v>
      </c>
      <c r="I12" s="72" t="s">
        <v>277</v>
      </c>
      <c r="J12" s="72" t="s">
        <v>278</v>
      </c>
      <c r="K12" s="1262" t="s">
        <v>1412</v>
      </c>
      <c r="L12" s="1264" t="s">
        <v>286</v>
      </c>
      <c r="AF12" s="68"/>
      <c r="AG12" s="68"/>
    </row>
    <row r="13" spans="1:33" ht="18" customHeight="1" thickBot="1" x14ac:dyDescent="0.3">
      <c r="A13" s="1259"/>
      <c r="B13" s="1261"/>
      <c r="C13" s="73" t="s">
        <v>287</v>
      </c>
      <c r="D13" s="73" t="s">
        <v>287</v>
      </c>
      <c r="E13" s="74" t="s">
        <v>279</v>
      </c>
      <c r="F13" s="74" t="s">
        <v>280</v>
      </c>
      <c r="G13" s="74" t="s">
        <v>280</v>
      </c>
      <c r="H13" s="74" t="s">
        <v>281</v>
      </c>
      <c r="I13" s="75" t="s">
        <v>282</v>
      </c>
      <c r="J13" s="76" t="s">
        <v>283</v>
      </c>
      <c r="K13" s="1263"/>
      <c r="L13" s="1265"/>
      <c r="AF13" s="48" t="s">
        <v>284</v>
      </c>
      <c r="AG13" s="48" t="s">
        <v>75</v>
      </c>
    </row>
    <row r="14" spans="1:33" ht="18" customHeight="1" x14ac:dyDescent="0.25">
      <c r="A14" s="1236" t="s">
        <v>1886</v>
      </c>
      <c r="B14" s="1237"/>
      <c r="C14" s="1237"/>
      <c r="D14" s="1237"/>
      <c r="E14" s="1237"/>
      <c r="F14" s="1237"/>
      <c r="G14" s="1237"/>
      <c r="H14" s="1237"/>
      <c r="I14" s="1237"/>
      <c r="J14" s="1237"/>
      <c r="K14" s="1237"/>
      <c r="L14" s="1238"/>
      <c r="AF14" s="48" t="s">
        <v>285</v>
      </c>
      <c r="AG14" s="48" t="s">
        <v>73</v>
      </c>
    </row>
    <row r="15" spans="1:33" ht="18" customHeight="1" x14ac:dyDescent="0.25">
      <c r="A15" s="258" t="str">
        <f>IF(ISBLANK('Table 3-A| Emission Units'!A89),"",'Table 3-A| Emission Units'!A89&amp;"-"&amp;'Table 3-A| Emission Units'!B89)</f>
        <v>17-1</v>
      </c>
      <c r="B15" s="673" t="str">
        <f>IF(ISBLANK('Table 3-A| Emission Units'!D89),"",'Table 3-A| Emission Units'!D89)</f>
        <v>200 horsepower Emergency Generator</v>
      </c>
      <c r="C15" s="259">
        <v>40.686886000000001</v>
      </c>
      <c r="D15" s="260">
        <v>96.571197999999995</v>
      </c>
      <c r="E15" s="261">
        <v>1500</v>
      </c>
      <c r="F15" s="261">
        <v>15</v>
      </c>
      <c r="G15" s="261">
        <v>3</v>
      </c>
      <c r="H15" s="261">
        <v>300</v>
      </c>
      <c r="I15" s="261">
        <v>20</v>
      </c>
      <c r="J15" s="262">
        <f t="shared" ref="J15:J20" si="0">IFERROR(IF(ISBLANK(G15),"",(3.14159*((0.5*G15)^2))*I15),"Invalid Data")</f>
        <v>141.37155000000001</v>
      </c>
      <c r="K15" s="262" t="s">
        <v>284</v>
      </c>
      <c r="L15" s="263" t="s">
        <v>73</v>
      </c>
      <c r="O15" s="67"/>
      <c r="P15" s="67"/>
      <c r="Q15" s="67"/>
      <c r="R15" s="67"/>
      <c r="S15" s="67"/>
      <c r="T15" s="67"/>
      <c r="U15" s="67"/>
      <c r="V15" s="67"/>
      <c r="AF15" s="48" t="s">
        <v>1411</v>
      </c>
    </row>
    <row r="16" spans="1:33" ht="18" customHeight="1" x14ac:dyDescent="0.25">
      <c r="A16" s="258" t="str">
        <f>IF(ISBLANK('Table 3-A| Emission Units'!A90),"",'Table 3-A| Emission Units'!A90&amp;"-"&amp;'Table 3-A| Emission Units'!B90)</f>
        <v>18-1</v>
      </c>
      <c r="B16" s="673" t="str">
        <f>IF(ISBLANK('Table 3-A| Emission Units'!D90),"",'Table 3-A| Emission Units'!D90)</f>
        <v>20.5 MMBtu/hr Boiler</v>
      </c>
      <c r="C16" s="259">
        <v>40.86889</v>
      </c>
      <c r="D16" s="260">
        <v>96.571200000000005</v>
      </c>
      <c r="E16" s="261">
        <v>1500</v>
      </c>
      <c r="F16" s="261">
        <v>35</v>
      </c>
      <c r="G16" s="261">
        <v>4</v>
      </c>
      <c r="H16" s="261">
        <v>250</v>
      </c>
      <c r="I16" s="261">
        <v>15</v>
      </c>
      <c r="J16" s="262">
        <f t="shared" si="0"/>
        <v>188.49539999999999</v>
      </c>
      <c r="K16" s="262" t="s">
        <v>284</v>
      </c>
      <c r="L16" s="263" t="s">
        <v>75</v>
      </c>
      <c r="O16" s="67"/>
      <c r="P16" s="67"/>
      <c r="Q16" s="67"/>
      <c r="R16" s="67"/>
      <c r="S16" s="67"/>
      <c r="T16" s="67"/>
      <c r="U16" s="67"/>
      <c r="V16" s="67"/>
    </row>
    <row r="17" spans="1:33" ht="18" customHeight="1" x14ac:dyDescent="0.25">
      <c r="A17" s="258" t="str">
        <f>IF(ISBLANK('Table 3-A| Emission Units'!A91),"",'Table 3-A| Emission Units'!A91&amp;"-"&amp;'Table 3-A| Emission Units'!B91)</f>
        <v>18-2</v>
      </c>
      <c r="B17" s="673" t="str">
        <f>IF(ISBLANK('Table 3-A| Emission Units'!D91),"",'Table 3-A| Emission Units'!D91)</f>
        <v>20.5 MMBtu/hr Boiler</v>
      </c>
      <c r="C17" s="259">
        <v>40.86889</v>
      </c>
      <c r="D17" s="260">
        <v>96.571200000000005</v>
      </c>
      <c r="E17" s="261">
        <v>1500</v>
      </c>
      <c r="F17" s="261">
        <v>35</v>
      </c>
      <c r="G17" s="261">
        <v>4</v>
      </c>
      <c r="H17" s="261">
        <v>250</v>
      </c>
      <c r="I17" s="261">
        <v>15</v>
      </c>
      <c r="J17" s="262">
        <f t="shared" si="0"/>
        <v>188.49539999999999</v>
      </c>
      <c r="K17" s="262" t="s">
        <v>284</v>
      </c>
      <c r="L17" s="263" t="s">
        <v>75</v>
      </c>
    </row>
    <row r="18" spans="1:33" ht="18" customHeight="1" x14ac:dyDescent="0.25">
      <c r="A18" s="258" t="str">
        <f>IF(ISBLANK('Table 3-A| Emission Units'!A92),"",'Table 3-A| Emission Units'!A92&amp;"-"&amp;'Table 3-A| Emission Units'!B92)</f>
        <v>19-1</v>
      </c>
      <c r="B18" s="673" t="str">
        <f>IF(ISBLANK('Table 3-A| Emission Units'!D92),"",'Table 3-A| Emission Units'!D92)</f>
        <v>Fixed-Roof Gasoline Storage Tanks</v>
      </c>
      <c r="C18" s="259"/>
      <c r="D18" s="260"/>
      <c r="E18" s="261"/>
      <c r="F18" s="261"/>
      <c r="G18" s="261"/>
      <c r="H18" s="261"/>
      <c r="I18" s="261"/>
      <c r="J18" s="262" t="str">
        <f t="shared" si="0"/>
        <v/>
      </c>
      <c r="K18" s="262" t="s">
        <v>1411</v>
      </c>
      <c r="L18" s="263"/>
    </row>
    <row r="19" spans="1:33" ht="18" customHeight="1" x14ac:dyDescent="0.25">
      <c r="A19" s="258" t="str">
        <f>IF(ISBLANK('Table 3-A| Emission Units'!A93),"",'Table 3-A| Emission Units'!A93&amp;"-"&amp;'Table 3-A| Emission Units'!B93)</f>
        <v>19-2</v>
      </c>
      <c r="B19" s="673" t="str">
        <f>IF(ISBLANK('Table 3-A| Emission Units'!D93),"",'Table 3-A| Emission Units'!D93)</f>
        <v>Fixed-Roof Gasoline Storage Tanks</v>
      </c>
      <c r="C19" s="259"/>
      <c r="D19" s="260"/>
      <c r="E19" s="261"/>
      <c r="F19" s="261"/>
      <c r="G19" s="261"/>
      <c r="H19" s="261"/>
      <c r="I19" s="261"/>
      <c r="J19" s="262" t="str">
        <f t="shared" si="0"/>
        <v/>
      </c>
      <c r="K19" s="262" t="s">
        <v>1411</v>
      </c>
      <c r="L19" s="263"/>
    </row>
    <row r="20" spans="1:33" ht="18" customHeight="1" thickBot="1" x14ac:dyDescent="0.3">
      <c r="A20" s="264" t="str">
        <f>IF(ISBLANK('Table 3-A| Emission Units'!A94),"",'Table 3-A| Emission Units'!A94&amp;"-"&amp;'Table 3-A| Emission Units'!B94)</f>
        <v/>
      </c>
      <c r="B20" s="265" t="str">
        <f>IF(ISBLANK('Table 3-A| Emission Units'!D94),"",'Table 3-A| Emission Units'!D94)</f>
        <v/>
      </c>
      <c r="C20" s="266"/>
      <c r="D20" s="267"/>
      <c r="E20" s="268"/>
      <c r="F20" s="268"/>
      <c r="G20" s="268"/>
      <c r="H20" s="268"/>
      <c r="I20" s="268"/>
      <c r="J20" s="269" t="str">
        <f t="shared" si="0"/>
        <v/>
      </c>
      <c r="K20" s="269" t="s">
        <v>1411</v>
      </c>
      <c r="L20" s="270"/>
    </row>
    <row r="21" spans="1:33" s="68" customFormat="1" ht="27.75" customHeight="1" thickBot="1" x14ac:dyDescent="0.3">
      <c r="A21" s="1241" t="s">
        <v>1443</v>
      </c>
      <c r="B21" s="1211"/>
      <c r="C21" s="1211"/>
      <c r="D21" s="1211"/>
      <c r="E21" s="1211"/>
      <c r="F21" s="1211"/>
      <c r="G21" s="1211"/>
      <c r="H21" s="1211"/>
      <c r="I21" s="1211"/>
      <c r="J21" s="1211"/>
      <c r="K21" s="1211"/>
      <c r="L21" s="1242"/>
    </row>
    <row r="22" spans="1:33" s="68" customFormat="1" ht="9" customHeight="1" thickBot="1" x14ac:dyDescent="0.3">
      <c r="A22" s="78"/>
      <c r="B22" s="78"/>
      <c r="C22" s="78"/>
      <c r="D22" s="78"/>
      <c r="E22" s="78"/>
      <c r="F22" s="78"/>
      <c r="G22" s="78"/>
      <c r="H22" s="78"/>
      <c r="I22" s="78"/>
      <c r="J22" s="78"/>
      <c r="K22" s="78"/>
      <c r="L22" s="78"/>
    </row>
    <row r="23" spans="1:33" s="68" customFormat="1" ht="18" customHeight="1" thickBot="1" x14ac:dyDescent="0.3">
      <c r="A23" s="1247" t="s">
        <v>1424</v>
      </c>
      <c r="B23" s="1248"/>
      <c r="C23" s="93"/>
      <c r="D23" s="78" t="s">
        <v>1428</v>
      </c>
      <c r="E23" s="96"/>
      <c r="F23" s="78" t="s">
        <v>1429</v>
      </c>
      <c r="G23" s="97"/>
      <c r="H23" s="78" t="s">
        <v>1430</v>
      </c>
      <c r="I23" s="1247" t="s">
        <v>1431</v>
      </c>
      <c r="J23" s="1248"/>
      <c r="K23" s="1239">
        <f>C23+(E23/60)+(G23/3600)</f>
        <v>0</v>
      </c>
      <c r="L23" s="1240"/>
    </row>
    <row r="24" spans="1:33" s="68" customFormat="1" ht="18" customHeight="1" thickBot="1" x14ac:dyDescent="0.3">
      <c r="A24" s="1247" t="s">
        <v>1425</v>
      </c>
      <c r="B24" s="1248"/>
      <c r="C24" s="93"/>
      <c r="D24" s="78" t="s">
        <v>1432</v>
      </c>
      <c r="E24" s="96"/>
      <c r="F24" s="78" t="s">
        <v>1429</v>
      </c>
      <c r="G24" s="97"/>
      <c r="H24" s="78" t="s">
        <v>1430</v>
      </c>
      <c r="I24" s="1247" t="s">
        <v>1431</v>
      </c>
      <c r="J24" s="1248"/>
      <c r="K24" s="1239">
        <f>C24+(E24/60)+(G24/3600)</f>
        <v>0</v>
      </c>
      <c r="L24" s="1240"/>
    </row>
    <row r="25" spans="1:33" s="68" customFormat="1" ht="18" customHeight="1" thickBot="1" x14ac:dyDescent="0.3">
      <c r="A25" s="1247" t="s">
        <v>1426</v>
      </c>
      <c r="B25" s="1248"/>
      <c r="C25" s="94"/>
      <c r="D25" s="78" t="s">
        <v>1433</v>
      </c>
      <c r="E25" s="78"/>
      <c r="F25" s="78"/>
      <c r="G25" s="78"/>
      <c r="H25" s="78"/>
      <c r="I25" s="1247" t="s">
        <v>1434</v>
      </c>
      <c r="J25" s="1248"/>
      <c r="K25" s="1249">
        <f>CONVERT(C25,"m","ft")</f>
        <v>0</v>
      </c>
      <c r="L25" s="1250"/>
    </row>
    <row r="26" spans="1:33" s="68" customFormat="1" ht="18" customHeight="1" thickBot="1" x14ac:dyDescent="0.3">
      <c r="A26" s="1247" t="s">
        <v>1436</v>
      </c>
      <c r="B26" s="1248"/>
      <c r="C26" s="94"/>
      <c r="D26" s="78" t="s">
        <v>1435</v>
      </c>
      <c r="E26" s="94"/>
      <c r="F26" s="78" t="s">
        <v>1763</v>
      </c>
      <c r="G26" s="78"/>
      <c r="H26" s="78"/>
      <c r="I26" s="1247" t="s">
        <v>1439</v>
      </c>
      <c r="J26" s="1248"/>
      <c r="K26" s="1249">
        <f>SQRT((4*C26*E26)/PI())</f>
        <v>0</v>
      </c>
      <c r="L26" s="1250"/>
    </row>
    <row r="27" spans="1:33" s="68" customFormat="1" ht="18" customHeight="1" thickBot="1" x14ac:dyDescent="0.3">
      <c r="A27" s="1247" t="s">
        <v>1629</v>
      </c>
      <c r="B27" s="1248"/>
      <c r="C27" s="94"/>
      <c r="D27" s="1253" t="s">
        <v>1764</v>
      </c>
      <c r="E27" s="1254"/>
      <c r="F27" s="78"/>
      <c r="G27" s="78"/>
      <c r="H27" s="78"/>
      <c r="I27" s="1247" t="s">
        <v>1437</v>
      </c>
      <c r="J27" s="1248"/>
      <c r="K27" s="1251" t="str">
        <f>IF(ISBLANK(C27),"0",CONVERT(C27,"C","F"))</f>
        <v>0</v>
      </c>
      <c r="L27" s="1252"/>
    </row>
    <row r="28" spans="1:33" s="68" customFormat="1" ht="18" customHeight="1" thickBot="1" x14ac:dyDescent="0.3">
      <c r="A28" s="1243" t="s">
        <v>1427</v>
      </c>
      <c r="B28" s="1244"/>
      <c r="C28" s="95"/>
      <c r="D28" s="1253" t="s">
        <v>1440</v>
      </c>
      <c r="E28" s="1254"/>
      <c r="F28" s="1283"/>
      <c r="G28" s="1278" t="s">
        <v>1442</v>
      </c>
      <c r="H28" s="1278"/>
      <c r="I28" s="1243" t="s">
        <v>1438</v>
      </c>
      <c r="J28" s="1244"/>
      <c r="K28" s="1279">
        <f>IFERROR(IF(AND(NOT(ISBLANK(C28)),NOT(ISBLANK(C29))),"Enter only CFS or CFM",IF(ISBLANK(C28),((C29/60)/(PI()*(0.5*F28)^2)),(C28/(PI()*(0.5*F28)^2)))),0)</f>
        <v>0</v>
      </c>
      <c r="L28" s="1280"/>
    </row>
    <row r="29" spans="1:33" s="68" customFormat="1" ht="18" customHeight="1" thickBot="1" x14ac:dyDescent="0.3">
      <c r="A29" s="1245"/>
      <c r="B29" s="1246"/>
      <c r="C29" s="94"/>
      <c r="D29" s="78" t="s">
        <v>1441</v>
      </c>
      <c r="E29" s="78"/>
      <c r="F29" s="1284"/>
      <c r="G29" s="1278"/>
      <c r="H29" s="1278"/>
      <c r="I29" s="1245"/>
      <c r="J29" s="1246"/>
      <c r="K29" s="1281"/>
      <c r="L29" s="1282"/>
    </row>
    <row r="30" spans="1:33" s="68" customFormat="1" ht="36.75" customHeight="1" thickBot="1" x14ac:dyDescent="0.3">
      <c r="A30" s="1277" t="s">
        <v>1423</v>
      </c>
      <c r="B30" s="1277"/>
      <c r="C30" s="1277"/>
      <c r="D30" s="1277"/>
      <c r="E30" s="1277"/>
      <c r="F30" s="1277"/>
      <c r="G30" s="1277"/>
      <c r="H30" s="1277"/>
      <c r="I30" s="1277"/>
      <c r="J30" s="1277"/>
      <c r="K30" s="1277"/>
      <c r="L30" s="1277"/>
    </row>
    <row r="31" spans="1:33" s="77" customFormat="1" ht="19.5" thickBot="1" x14ac:dyDescent="0.3">
      <c r="A31" s="1211" t="s">
        <v>1422</v>
      </c>
      <c r="B31" s="1211"/>
      <c r="C31" s="1211"/>
      <c r="D31" s="1211"/>
      <c r="E31" s="1211"/>
      <c r="F31" s="1211"/>
      <c r="G31" s="1211"/>
      <c r="H31" s="1211"/>
      <c r="I31" s="1211"/>
      <c r="J31" s="1211"/>
      <c r="K31" s="1211"/>
      <c r="L31" s="1211"/>
    </row>
    <row r="32" spans="1:33" ht="60" customHeight="1" x14ac:dyDescent="0.25">
      <c r="A32" s="30"/>
      <c r="B32" s="30"/>
      <c r="C32" s="32"/>
      <c r="D32" s="32"/>
      <c r="E32" s="31"/>
      <c r="F32" s="31"/>
      <c r="G32" s="31"/>
      <c r="H32" s="31"/>
      <c r="I32" s="31"/>
      <c r="J32" s="31"/>
      <c r="K32" s="31"/>
      <c r="L32" s="31"/>
      <c r="AF32" s="1266" t="s">
        <v>1412</v>
      </c>
      <c r="AG32" s="1266" t="s">
        <v>286</v>
      </c>
    </row>
    <row r="33" spans="1:33" ht="24.95" customHeight="1" x14ac:dyDescent="0.25">
      <c r="A33" s="1213" t="s">
        <v>1784</v>
      </c>
      <c r="B33" s="1213"/>
      <c r="C33" s="1213"/>
      <c r="D33" s="1213"/>
      <c r="E33" s="1213"/>
      <c r="F33" s="1213"/>
      <c r="G33" s="1213"/>
      <c r="H33" s="1213"/>
      <c r="I33" s="1213"/>
      <c r="J33" s="1213"/>
      <c r="K33" s="1213"/>
      <c r="L33" s="1213"/>
      <c r="AF33" s="1266"/>
      <c r="AG33" s="1266"/>
    </row>
    <row r="34" spans="1:33" ht="24.95" customHeight="1" x14ac:dyDescent="0.25">
      <c r="A34" s="1002" t="s">
        <v>1785</v>
      </c>
      <c r="B34" s="1002"/>
      <c r="C34" s="1002"/>
      <c r="D34" s="1002"/>
      <c r="E34" s="1002"/>
      <c r="F34" s="1002"/>
      <c r="G34" s="1002"/>
      <c r="H34" s="1002"/>
      <c r="I34" s="1002"/>
      <c r="J34" s="1002"/>
      <c r="K34" s="1002"/>
      <c r="L34" s="1002"/>
      <c r="AF34" s="48" t="s">
        <v>284</v>
      </c>
      <c r="AG34" s="48" t="s">
        <v>75</v>
      </c>
    </row>
    <row r="35" spans="1:33" ht="42" customHeight="1" x14ac:dyDescent="0.25">
      <c r="A35" s="1275" t="s">
        <v>2138</v>
      </c>
      <c r="B35" s="1275"/>
      <c r="C35" s="1275"/>
      <c r="D35" s="1275"/>
      <c r="E35" s="1275"/>
      <c r="F35" s="1275"/>
      <c r="G35" s="1275"/>
      <c r="H35" s="1275"/>
      <c r="I35" s="1275"/>
      <c r="J35" s="1275"/>
      <c r="K35" s="1275"/>
      <c r="L35" s="1275"/>
      <c r="AF35" s="48" t="s">
        <v>285</v>
      </c>
      <c r="AG35" s="48" t="s">
        <v>73</v>
      </c>
    </row>
    <row r="36" spans="1:33" ht="15.75" thickBot="1" x14ac:dyDescent="0.3">
      <c r="A36" s="828"/>
      <c r="B36" s="828"/>
      <c r="C36" s="828"/>
      <c r="D36" s="828"/>
      <c r="E36" s="828"/>
      <c r="F36" s="828"/>
      <c r="G36" s="828"/>
      <c r="H36" s="828"/>
      <c r="I36" s="828"/>
      <c r="J36" s="828"/>
      <c r="K36" s="828"/>
      <c r="L36" s="841" t="str">
        <f>"Ver."&amp;" "&amp;TEXT(Introduction!$M$3,"MM/YYYY")</f>
        <v>Ver. 01/2025</v>
      </c>
      <c r="AF36" s="48" t="s">
        <v>1411</v>
      </c>
    </row>
    <row r="37" spans="1:33" ht="30" customHeight="1" x14ac:dyDescent="0.25">
      <c r="A37" s="1269" t="s">
        <v>1407</v>
      </c>
      <c r="B37" s="1267" t="s">
        <v>1410</v>
      </c>
      <c r="C37" s="789" t="s">
        <v>272</v>
      </c>
      <c r="D37" s="790" t="s">
        <v>273</v>
      </c>
      <c r="E37" s="791" t="s">
        <v>274</v>
      </c>
      <c r="F37" s="791" t="s">
        <v>275</v>
      </c>
      <c r="G37" s="791" t="s">
        <v>276</v>
      </c>
      <c r="H37" s="791" t="s">
        <v>288</v>
      </c>
      <c r="I37" s="791" t="s">
        <v>277</v>
      </c>
      <c r="J37" s="791" t="s">
        <v>278</v>
      </c>
      <c r="K37" s="1271" t="s">
        <v>1412</v>
      </c>
      <c r="L37" s="1273" t="s">
        <v>286</v>
      </c>
    </row>
    <row r="38" spans="1:33" ht="18" customHeight="1" thickBot="1" x14ac:dyDescent="0.3">
      <c r="A38" s="1270"/>
      <c r="B38" s="1268"/>
      <c r="C38" s="792" t="s">
        <v>287</v>
      </c>
      <c r="D38" s="792" t="s">
        <v>287</v>
      </c>
      <c r="E38" s="793" t="s">
        <v>279</v>
      </c>
      <c r="F38" s="793" t="s">
        <v>280</v>
      </c>
      <c r="G38" s="793" t="s">
        <v>280</v>
      </c>
      <c r="H38" s="793" t="s">
        <v>281</v>
      </c>
      <c r="I38" s="794" t="s">
        <v>282</v>
      </c>
      <c r="J38" s="795" t="s">
        <v>283</v>
      </c>
      <c r="K38" s="1272"/>
      <c r="L38" s="1274"/>
    </row>
    <row r="39" spans="1:33" ht="18" customHeight="1" x14ac:dyDescent="0.25">
      <c r="A39" s="1285" t="str">
        <f>IF(ISBLANK('Table 3-A| Emission Units'!A102),"",'Table 3-A| Emission Units'!A102)</f>
        <v>Boiler Emission Units</v>
      </c>
      <c r="B39" s="1286"/>
      <c r="C39" s="1286"/>
      <c r="D39" s="1286"/>
      <c r="E39" s="1286"/>
      <c r="F39" s="1286"/>
      <c r="G39" s="1286"/>
      <c r="H39" s="1286"/>
      <c r="I39" s="1286"/>
      <c r="J39" s="1286"/>
      <c r="K39" s="1286"/>
      <c r="L39" s="1287"/>
    </row>
    <row r="40" spans="1:33" ht="18" customHeight="1" x14ac:dyDescent="0.25">
      <c r="A40" s="271">
        <f>IF(OR('Table 3-A| Emission Units'!A103=0,'Table 3-A| Emission Units'!B103=0),0,'Table 3-A| Emission Units'!A103&amp;"-"&amp;'Table 3-A| Emission Units'!B103)</f>
        <v>0</v>
      </c>
      <c r="B40" s="272" t="str">
        <f ca="1">IF(ISBLANK('Table 3-A| Emission Units'!D103),"",IF(LEN('Table 3-A| Emission Units'!D103)&gt;25,LEFT('Table 3-A| Emission Units'!D103,25)&amp;"…",'Table 3-A| Emission Units'!D103))</f>
        <v/>
      </c>
      <c r="C40" s="273"/>
      <c r="D40" s="274"/>
      <c r="E40" s="275"/>
      <c r="F40" s="275"/>
      <c r="G40" s="275"/>
      <c r="H40" s="275"/>
      <c r="I40" s="275"/>
      <c r="J40" s="276" t="str">
        <f t="shared" ref="J40:J56" si="1">IFERROR(IF(ISBLANK(G40),"",(3.14159*((0.5*G40)^2))*I40),"Invalid Data")</f>
        <v/>
      </c>
      <c r="K40" s="277"/>
      <c r="L40" s="278"/>
    </row>
    <row r="41" spans="1:33" ht="18" customHeight="1" x14ac:dyDescent="0.25">
      <c r="A41" s="271">
        <f>IF(OR('Table 3-A| Emission Units'!A104=0,'Table 3-A| Emission Units'!B104=0),0,'Table 3-A| Emission Units'!A104&amp;"-"&amp;'Table 3-A| Emission Units'!B104)</f>
        <v>0</v>
      </c>
      <c r="B41" s="272" t="str">
        <f ca="1">IF(ISBLANK('Table 3-A| Emission Units'!D104),"",IF(LEN('Table 3-A| Emission Units'!D104)&gt;25,LEFT('Table 3-A| Emission Units'!D104,25)&amp;"…",'Table 3-A| Emission Units'!D104))</f>
        <v/>
      </c>
      <c r="C41" s="273"/>
      <c r="D41" s="274"/>
      <c r="E41" s="275"/>
      <c r="F41" s="275"/>
      <c r="G41" s="275"/>
      <c r="H41" s="275"/>
      <c r="I41" s="275"/>
      <c r="J41" s="276" t="str">
        <f t="shared" si="1"/>
        <v/>
      </c>
      <c r="K41" s="277"/>
      <c r="L41" s="278"/>
    </row>
    <row r="42" spans="1:33" ht="18" customHeight="1" x14ac:dyDescent="0.25">
      <c r="A42" s="271">
        <f>IF(OR('Table 3-A| Emission Units'!A105=0,'Table 3-A| Emission Units'!B105=0),0,'Table 3-A| Emission Units'!A105&amp;"-"&amp;'Table 3-A| Emission Units'!B105)</f>
        <v>0</v>
      </c>
      <c r="B42" s="272" t="str">
        <f ca="1">IF(ISBLANK('Table 3-A| Emission Units'!D105),"",IF(LEN('Table 3-A| Emission Units'!D105)&gt;25,LEFT('Table 3-A| Emission Units'!D105,25)&amp;"…",'Table 3-A| Emission Units'!D105))</f>
        <v/>
      </c>
      <c r="C42" s="273"/>
      <c r="D42" s="274"/>
      <c r="E42" s="275"/>
      <c r="F42" s="275"/>
      <c r="G42" s="275"/>
      <c r="H42" s="275"/>
      <c r="I42" s="275"/>
      <c r="J42" s="276" t="str">
        <f t="shared" si="1"/>
        <v/>
      </c>
      <c r="K42" s="277"/>
      <c r="L42" s="278"/>
    </row>
    <row r="43" spans="1:33" ht="18" customHeight="1" x14ac:dyDescent="0.25">
      <c r="A43" s="271">
        <f>IF(OR('Table 3-A| Emission Units'!A106=0,'Table 3-A| Emission Units'!B106=0),0,'Table 3-A| Emission Units'!A106&amp;"-"&amp;'Table 3-A| Emission Units'!B106)</f>
        <v>0</v>
      </c>
      <c r="B43" s="272" t="str">
        <f ca="1">IF(ISBLANK('Table 3-A| Emission Units'!D106),"",IF(LEN('Table 3-A| Emission Units'!D106)&gt;25,LEFT('Table 3-A| Emission Units'!D106,25)&amp;"…",'Table 3-A| Emission Units'!D106))</f>
        <v/>
      </c>
      <c r="C43" s="273"/>
      <c r="D43" s="274"/>
      <c r="E43" s="275"/>
      <c r="F43" s="275"/>
      <c r="G43" s="275"/>
      <c r="H43" s="275"/>
      <c r="I43" s="275"/>
      <c r="J43" s="276" t="str">
        <f t="shared" si="1"/>
        <v/>
      </c>
      <c r="K43" s="277"/>
      <c r="L43" s="278"/>
    </row>
    <row r="44" spans="1:33" ht="18" customHeight="1" x14ac:dyDescent="0.25">
      <c r="A44" s="271">
        <f>IF(OR('Table 3-A| Emission Units'!A107=0,'Table 3-A| Emission Units'!B107=0),0,'Table 3-A| Emission Units'!A107&amp;"-"&amp;'Table 3-A| Emission Units'!B107)</f>
        <v>0</v>
      </c>
      <c r="B44" s="272" t="str">
        <f ca="1">IF(ISBLANK('Table 3-A| Emission Units'!D107),"",IF(LEN('Table 3-A| Emission Units'!D107)&gt;25,LEFT('Table 3-A| Emission Units'!D107,25)&amp;"…",'Table 3-A| Emission Units'!D107))</f>
        <v/>
      </c>
      <c r="C44" s="273"/>
      <c r="D44" s="274"/>
      <c r="E44" s="275"/>
      <c r="F44" s="275"/>
      <c r="G44" s="275"/>
      <c r="H44" s="275"/>
      <c r="I44" s="275"/>
      <c r="J44" s="276" t="str">
        <f t="shared" ref="J44:J47" si="2">IFERROR(IF(ISBLANK(G44),"",(3.14159*((0.5*G44)^2))*I44),"Invalid Data")</f>
        <v/>
      </c>
      <c r="K44" s="277"/>
      <c r="L44" s="278"/>
    </row>
    <row r="45" spans="1:33" ht="18" customHeight="1" x14ac:dyDescent="0.25">
      <c r="A45" s="271">
        <f>IF(OR('Table 3-A| Emission Units'!A108=0,'Table 3-A| Emission Units'!B108=0),0,'Table 3-A| Emission Units'!A108&amp;"-"&amp;'Table 3-A| Emission Units'!B108)</f>
        <v>0</v>
      </c>
      <c r="B45" s="272" t="str">
        <f ca="1">IF(ISBLANK('Table 3-A| Emission Units'!D108),"",IF(LEN('Table 3-A| Emission Units'!D108)&gt;25,LEFT('Table 3-A| Emission Units'!D108,25)&amp;"…",'Table 3-A| Emission Units'!D108))</f>
        <v/>
      </c>
      <c r="C45" s="273"/>
      <c r="D45" s="274"/>
      <c r="E45" s="275"/>
      <c r="F45" s="275"/>
      <c r="G45" s="275"/>
      <c r="H45" s="275"/>
      <c r="I45" s="275"/>
      <c r="J45" s="276" t="str">
        <f t="shared" si="2"/>
        <v/>
      </c>
      <c r="K45" s="277"/>
      <c r="L45" s="278"/>
    </row>
    <row r="46" spans="1:33" ht="18" customHeight="1" x14ac:dyDescent="0.25">
      <c r="A46" s="271">
        <f>IF(OR('Table 3-A| Emission Units'!A109=0,'Table 3-A| Emission Units'!B109=0),0,'Table 3-A| Emission Units'!A109&amp;"-"&amp;'Table 3-A| Emission Units'!B109)</f>
        <v>0</v>
      </c>
      <c r="B46" s="272" t="str">
        <f ca="1">IF(ISBLANK('Table 3-A| Emission Units'!D109),"",IF(LEN('Table 3-A| Emission Units'!D109)&gt;25,LEFT('Table 3-A| Emission Units'!D109,25)&amp;"…",'Table 3-A| Emission Units'!D109))</f>
        <v/>
      </c>
      <c r="C46" s="273"/>
      <c r="D46" s="274"/>
      <c r="E46" s="275"/>
      <c r="F46" s="275"/>
      <c r="G46" s="275"/>
      <c r="H46" s="275"/>
      <c r="I46" s="275"/>
      <c r="J46" s="276" t="str">
        <f t="shared" si="2"/>
        <v/>
      </c>
      <c r="K46" s="277"/>
      <c r="L46" s="278"/>
    </row>
    <row r="47" spans="1:33" ht="18" customHeight="1" x14ac:dyDescent="0.25">
      <c r="A47" s="271">
        <f>IF(OR('Table 3-A| Emission Units'!A110=0,'Table 3-A| Emission Units'!B110=0),0,'Table 3-A| Emission Units'!A110&amp;"-"&amp;'Table 3-A| Emission Units'!B110)</f>
        <v>0</v>
      </c>
      <c r="B47" s="272" t="str">
        <f ca="1">IF(ISBLANK('Table 3-A| Emission Units'!D110),"",IF(LEN('Table 3-A| Emission Units'!D110)&gt;25,LEFT('Table 3-A| Emission Units'!D110,25)&amp;"…",'Table 3-A| Emission Units'!D110))</f>
        <v/>
      </c>
      <c r="C47" s="273"/>
      <c r="D47" s="274"/>
      <c r="E47" s="275"/>
      <c r="F47" s="275"/>
      <c r="G47" s="275"/>
      <c r="H47" s="275"/>
      <c r="I47" s="275"/>
      <c r="J47" s="276" t="str">
        <f t="shared" si="2"/>
        <v/>
      </c>
      <c r="K47" s="277"/>
      <c r="L47" s="278"/>
    </row>
    <row r="48" spans="1:33" ht="18" customHeight="1" x14ac:dyDescent="0.25">
      <c r="A48" s="271">
        <f>IF(OR('Table 3-A| Emission Units'!A111=0,'Table 3-A| Emission Units'!B111=0),0,'Table 3-A| Emission Units'!A111&amp;"-"&amp;'Table 3-A| Emission Units'!B111)</f>
        <v>0</v>
      </c>
      <c r="B48" s="272" t="str">
        <f ca="1">IF(ISBLANK('Table 3-A| Emission Units'!D111),"",IF(LEN('Table 3-A| Emission Units'!D111)&gt;25,LEFT('Table 3-A| Emission Units'!D111,25)&amp;"…",'Table 3-A| Emission Units'!D111))</f>
        <v/>
      </c>
      <c r="C48" s="273"/>
      <c r="D48" s="274"/>
      <c r="E48" s="275"/>
      <c r="F48" s="275"/>
      <c r="G48" s="275"/>
      <c r="H48" s="275"/>
      <c r="I48" s="275"/>
      <c r="J48" s="276" t="str">
        <f t="shared" ref="J48:J51" si="3">IFERROR(IF(ISBLANK(G48),"",(3.14159*((0.5*G48)^2))*I48),"Invalid Data")</f>
        <v/>
      </c>
      <c r="K48" s="277"/>
      <c r="L48" s="278"/>
    </row>
    <row r="49" spans="1:12" ht="18" customHeight="1" x14ac:dyDescent="0.25">
      <c r="A49" s="271">
        <f>IF(OR('Table 3-A| Emission Units'!A112=0,'Table 3-A| Emission Units'!B112=0),0,'Table 3-A| Emission Units'!A112&amp;"-"&amp;'Table 3-A| Emission Units'!B112)</f>
        <v>0</v>
      </c>
      <c r="B49" s="272" t="str">
        <f ca="1">IF(ISBLANK('Table 3-A| Emission Units'!D112),"",IF(LEN('Table 3-A| Emission Units'!D112)&gt;25,LEFT('Table 3-A| Emission Units'!D112,25)&amp;"…",'Table 3-A| Emission Units'!D112))</f>
        <v/>
      </c>
      <c r="C49" s="273"/>
      <c r="D49" s="274"/>
      <c r="E49" s="275"/>
      <c r="F49" s="275"/>
      <c r="G49" s="275"/>
      <c r="H49" s="275"/>
      <c r="I49" s="275"/>
      <c r="J49" s="276" t="str">
        <f t="shared" si="3"/>
        <v/>
      </c>
      <c r="K49" s="277"/>
      <c r="L49" s="278"/>
    </row>
    <row r="50" spans="1:12" ht="18" customHeight="1" x14ac:dyDescent="0.25">
      <c r="A50" s="271">
        <f>IF(OR('Table 3-A| Emission Units'!A113=0,'Table 3-A| Emission Units'!B113=0),0,'Table 3-A| Emission Units'!A113&amp;"-"&amp;'Table 3-A| Emission Units'!B113)</f>
        <v>0</v>
      </c>
      <c r="B50" s="272" t="str">
        <f ca="1">IF(ISBLANK('Table 3-A| Emission Units'!D113),"",IF(LEN('Table 3-A| Emission Units'!D113)&gt;25,LEFT('Table 3-A| Emission Units'!D113,25)&amp;"…",'Table 3-A| Emission Units'!D113))</f>
        <v/>
      </c>
      <c r="C50" s="273"/>
      <c r="D50" s="274"/>
      <c r="E50" s="275"/>
      <c r="F50" s="275"/>
      <c r="G50" s="275"/>
      <c r="H50" s="275"/>
      <c r="I50" s="275"/>
      <c r="J50" s="276" t="str">
        <f t="shared" si="3"/>
        <v/>
      </c>
      <c r="K50" s="277"/>
      <c r="L50" s="278"/>
    </row>
    <row r="51" spans="1:12" ht="18" customHeight="1" x14ac:dyDescent="0.25">
      <c r="A51" s="271">
        <f>IF(OR('Table 3-A| Emission Units'!A114=0,'Table 3-A| Emission Units'!B114=0),0,'Table 3-A| Emission Units'!A114&amp;"-"&amp;'Table 3-A| Emission Units'!B114)</f>
        <v>0</v>
      </c>
      <c r="B51" s="272" t="str">
        <f ca="1">IF(ISBLANK('Table 3-A| Emission Units'!D114),"",IF(LEN('Table 3-A| Emission Units'!D114)&gt;25,LEFT('Table 3-A| Emission Units'!D114,25)&amp;"…",'Table 3-A| Emission Units'!D114))</f>
        <v/>
      </c>
      <c r="C51" s="273"/>
      <c r="D51" s="274"/>
      <c r="E51" s="275"/>
      <c r="F51" s="275"/>
      <c r="G51" s="275"/>
      <c r="H51" s="275"/>
      <c r="I51" s="275"/>
      <c r="J51" s="276" t="str">
        <f t="shared" si="3"/>
        <v/>
      </c>
      <c r="K51" s="277"/>
      <c r="L51" s="278"/>
    </row>
    <row r="52" spans="1:12" ht="18" customHeight="1" x14ac:dyDescent="0.25">
      <c r="A52" s="271">
        <f>IF(OR('Table 3-A| Emission Units'!A115=0,'Table 3-A| Emission Units'!B115=0),0,'Table 3-A| Emission Units'!A115&amp;"-"&amp;'Table 3-A| Emission Units'!B115)</f>
        <v>0</v>
      </c>
      <c r="B52" s="272" t="str">
        <f ca="1">IF(ISBLANK('Table 3-A| Emission Units'!D115),"",IF(LEN('Table 3-A| Emission Units'!D115)&gt;25,LEFT('Table 3-A| Emission Units'!D115,25)&amp;"…",'Table 3-A| Emission Units'!D115))</f>
        <v/>
      </c>
      <c r="C52" s="273"/>
      <c r="D52" s="274"/>
      <c r="E52" s="275"/>
      <c r="F52" s="275"/>
      <c r="G52" s="275"/>
      <c r="H52" s="275"/>
      <c r="I52" s="275"/>
      <c r="J52" s="276" t="str">
        <f t="shared" ref="J52:J53" si="4">IFERROR(IF(ISBLANK(G52),"",(3.14159*((0.5*G52)^2))*I52),"Invalid Data")</f>
        <v/>
      </c>
      <c r="K52" s="277"/>
      <c r="L52" s="278"/>
    </row>
    <row r="53" spans="1:12" ht="18" customHeight="1" x14ac:dyDescent="0.25">
      <c r="A53" s="271">
        <f>IF(OR('Table 3-A| Emission Units'!A116=0,'Table 3-A| Emission Units'!B116=0),0,'Table 3-A| Emission Units'!A116&amp;"-"&amp;'Table 3-A| Emission Units'!B116)</f>
        <v>0</v>
      </c>
      <c r="B53" s="272" t="str">
        <f ca="1">IF(ISBLANK('Table 3-A| Emission Units'!D116),"",IF(LEN('Table 3-A| Emission Units'!D116)&gt;25,LEFT('Table 3-A| Emission Units'!D116,25)&amp;"…",'Table 3-A| Emission Units'!D116))</f>
        <v/>
      </c>
      <c r="C53" s="273"/>
      <c r="D53" s="274"/>
      <c r="E53" s="275"/>
      <c r="F53" s="275"/>
      <c r="G53" s="275"/>
      <c r="H53" s="275"/>
      <c r="I53" s="275"/>
      <c r="J53" s="276" t="str">
        <f t="shared" si="4"/>
        <v/>
      </c>
      <c r="K53" s="277"/>
      <c r="L53" s="278"/>
    </row>
    <row r="54" spans="1:12" ht="18" customHeight="1" thickBot="1" x14ac:dyDescent="0.3">
      <c r="A54" s="271">
        <f>IF(OR('Table 3-A| Emission Units'!A117=0,'Table 3-A| Emission Units'!B117=0),0,'Table 3-A| Emission Units'!A117&amp;"-"&amp;'Table 3-A| Emission Units'!B117)</f>
        <v>0</v>
      </c>
      <c r="B54" s="272" t="str">
        <f ca="1">IF(ISBLANK('Table 3-A| Emission Units'!D117),"",IF(LEN('Table 3-A| Emission Units'!D117)&gt;25,LEFT('Table 3-A| Emission Units'!D117,25)&amp;"…",'Table 3-A| Emission Units'!D117))</f>
        <v/>
      </c>
      <c r="C54" s="273"/>
      <c r="D54" s="274"/>
      <c r="E54" s="275"/>
      <c r="F54" s="275"/>
      <c r="G54" s="275"/>
      <c r="H54" s="275"/>
      <c r="I54" s="275"/>
      <c r="J54" s="276" t="str">
        <f t="shared" si="1"/>
        <v/>
      </c>
      <c r="K54" s="277"/>
      <c r="L54" s="278"/>
    </row>
    <row r="55" spans="1:12" ht="18" customHeight="1" x14ac:dyDescent="0.25">
      <c r="A55" s="1285" t="str">
        <f>IF(ISBLANK('Table 3-A| Emission Units'!A118),"",'Table 3-A| Emission Units'!A118)</f>
        <v>Cooling Tower Emission Units</v>
      </c>
      <c r="B55" s="1286"/>
      <c r="C55" s="1286"/>
      <c r="D55" s="1286"/>
      <c r="E55" s="1286"/>
      <c r="F55" s="1286"/>
      <c r="G55" s="1286"/>
      <c r="H55" s="1286"/>
      <c r="I55" s="1286"/>
      <c r="J55" s="1286"/>
      <c r="K55" s="1286"/>
      <c r="L55" s="1287"/>
    </row>
    <row r="56" spans="1:12" ht="18" customHeight="1" thickBot="1" x14ac:dyDescent="0.3">
      <c r="A56" s="271">
        <f>IF(OR('Table 3-A| Emission Units'!A119=0,'Table 3-A| Emission Units'!B119=0),0,'Table 3-A| Emission Units'!A119&amp;"-"&amp;'Table 3-A| Emission Units'!B119)</f>
        <v>0</v>
      </c>
      <c r="B56" s="272" t="str">
        <f>IF(ISBLANK('Table 3-A| Emission Units'!D119),"",IF(LEN('Table 3-A| Emission Units'!D119)&gt;25,LEFT('Table 3-A| Emission Units'!D119,25)&amp;"…",'Table 3-A| Emission Units'!D119))</f>
        <v/>
      </c>
      <c r="C56" s="273"/>
      <c r="D56" s="274"/>
      <c r="E56" s="275"/>
      <c r="F56" s="275"/>
      <c r="G56" s="275"/>
      <c r="H56" s="275"/>
      <c r="I56" s="275"/>
      <c r="J56" s="276" t="str">
        <f t="shared" si="1"/>
        <v/>
      </c>
      <c r="K56" s="277"/>
      <c r="L56" s="278"/>
    </row>
    <row r="57" spans="1:12" ht="18" customHeight="1" x14ac:dyDescent="0.25">
      <c r="A57" s="1285" t="str">
        <f>IF(ISBLANK('Table 3-A| Emission Units'!A120),"",'Table 3-A| Emission Units'!A120)</f>
        <v>Combustion Turbine Emission Units</v>
      </c>
      <c r="B57" s="1286"/>
      <c r="C57" s="1286"/>
      <c r="D57" s="1286"/>
      <c r="E57" s="1286"/>
      <c r="F57" s="1286"/>
      <c r="G57" s="1286"/>
      <c r="H57" s="1286"/>
      <c r="I57" s="1286"/>
      <c r="J57" s="1286"/>
      <c r="K57" s="1286"/>
      <c r="L57" s="1287"/>
    </row>
    <row r="58" spans="1:12" ht="18" customHeight="1" x14ac:dyDescent="0.25">
      <c r="A58" s="271">
        <f>IF(OR('Table 3-A| Emission Units'!A121=0,'Table 3-A| Emission Units'!B121=0),0,'Table 3-A| Emission Units'!A121&amp;"-"&amp;'Table 3-A| Emission Units'!B121)</f>
        <v>0</v>
      </c>
      <c r="B58" s="272" t="str">
        <f ca="1">IF(ISBLANK('Table 3-A| Emission Units'!D121),"",IF(LEN('Table 3-A| Emission Units'!D121)&gt;25,LEFT('Table 3-A| Emission Units'!D121,25)&amp;"…",'Table 3-A| Emission Units'!D121))</f>
        <v/>
      </c>
      <c r="C58" s="273"/>
      <c r="D58" s="274"/>
      <c r="E58" s="275"/>
      <c r="F58" s="275"/>
      <c r="G58" s="275"/>
      <c r="H58" s="275"/>
      <c r="I58" s="275"/>
      <c r="J58" s="276" t="str">
        <f t="shared" ref="J58" si="5">IFERROR(IF(ISBLANK(G58),"",(3.14159*((0.5*G58)^2))*I58),"Invalid Data")</f>
        <v/>
      </c>
      <c r="K58" s="277"/>
      <c r="L58" s="278"/>
    </row>
    <row r="59" spans="1:12" ht="18" customHeight="1" x14ac:dyDescent="0.25">
      <c r="A59" s="271">
        <f>IF(OR('Table 3-A| Emission Units'!A122=0,'Table 3-A| Emission Units'!B122=0),0,'Table 3-A| Emission Units'!A122&amp;"-"&amp;'Table 3-A| Emission Units'!B122)</f>
        <v>0</v>
      </c>
      <c r="B59" s="272" t="str">
        <f ca="1">IF(ISBLANK('Table 3-A| Emission Units'!D122),"",IF(LEN('Table 3-A| Emission Units'!D122)&gt;25,LEFT('Table 3-A| Emission Units'!D122,25)&amp;"…",'Table 3-A| Emission Units'!D122))</f>
        <v/>
      </c>
      <c r="C59" s="273"/>
      <c r="D59" s="274"/>
      <c r="E59" s="275"/>
      <c r="F59" s="275"/>
      <c r="G59" s="275"/>
      <c r="H59" s="275"/>
      <c r="I59" s="275"/>
      <c r="J59" s="276" t="str">
        <f t="shared" ref="J59" si="6">IFERROR(IF(ISBLANK(G59),"",(3.14159*((0.5*G59)^2))*I59),"Invalid Data")</f>
        <v/>
      </c>
      <c r="K59" s="277"/>
      <c r="L59" s="278"/>
    </row>
    <row r="60" spans="1:12" ht="18" customHeight="1" x14ac:dyDescent="0.25">
      <c r="A60" s="271">
        <f>IF(OR('Table 3-A| Emission Units'!A123=0,'Table 3-A| Emission Units'!B123=0),0,'Table 3-A| Emission Units'!A123&amp;"-"&amp;'Table 3-A| Emission Units'!B123)</f>
        <v>0</v>
      </c>
      <c r="B60" s="272" t="str">
        <f ca="1">IF(ISBLANK('Table 3-A| Emission Units'!D123),"",IF(LEN('Table 3-A| Emission Units'!D123)&gt;25,LEFT('Table 3-A| Emission Units'!D123,25)&amp;"…",'Table 3-A| Emission Units'!D123))</f>
        <v/>
      </c>
      <c r="C60" s="273"/>
      <c r="D60" s="274"/>
      <c r="E60" s="275"/>
      <c r="F60" s="275"/>
      <c r="G60" s="275"/>
      <c r="H60" s="275"/>
      <c r="I60" s="275"/>
      <c r="J60" s="276" t="str">
        <f t="shared" ref="J60" si="7">IFERROR(IF(ISBLANK(G60),"",(3.14159*((0.5*G60)^2))*I60),"Invalid Data")</f>
        <v/>
      </c>
      <c r="K60" s="277"/>
      <c r="L60" s="278"/>
    </row>
    <row r="61" spans="1:12" ht="18" customHeight="1" x14ac:dyDescent="0.25">
      <c r="A61" s="271">
        <f>IF(OR('Table 3-A| Emission Units'!A124=0,'Table 3-A| Emission Units'!B124=0),0,'Table 3-A| Emission Units'!A124&amp;"-"&amp;'Table 3-A| Emission Units'!B124)</f>
        <v>0</v>
      </c>
      <c r="B61" s="272" t="str">
        <f ca="1">IF(ISBLANK('Table 3-A| Emission Units'!D124),"",IF(LEN('Table 3-A| Emission Units'!D124)&gt;25,LEFT('Table 3-A| Emission Units'!D124,25)&amp;"…",'Table 3-A| Emission Units'!D124))</f>
        <v/>
      </c>
      <c r="C61" s="273"/>
      <c r="D61" s="274"/>
      <c r="E61" s="275"/>
      <c r="F61" s="275"/>
      <c r="G61" s="275"/>
      <c r="H61" s="275"/>
      <c r="I61" s="275"/>
      <c r="J61" s="276" t="str">
        <f t="shared" ref="J61" si="8">IFERROR(IF(ISBLANK(G61),"",(3.14159*((0.5*G61)^2))*I61),"Invalid Data")</f>
        <v/>
      </c>
      <c r="K61" s="277"/>
      <c r="L61" s="278"/>
    </row>
    <row r="62" spans="1:12" ht="18" customHeight="1" x14ac:dyDescent="0.25">
      <c r="A62" s="271">
        <f>IF(OR('Table 3-A| Emission Units'!A125=0,'Table 3-A| Emission Units'!B125=0),0,'Table 3-A| Emission Units'!A125&amp;"-"&amp;'Table 3-A| Emission Units'!B125)</f>
        <v>0</v>
      </c>
      <c r="B62" s="272" t="str">
        <f ca="1">IF(ISBLANK('Table 3-A| Emission Units'!D125),"",IF(LEN('Table 3-A| Emission Units'!D125)&gt;25,LEFT('Table 3-A| Emission Units'!D125,25)&amp;"…",'Table 3-A| Emission Units'!D125))</f>
        <v/>
      </c>
      <c r="C62" s="273"/>
      <c r="D62" s="274"/>
      <c r="E62" s="275"/>
      <c r="F62" s="275"/>
      <c r="G62" s="275"/>
      <c r="H62" s="275"/>
      <c r="I62" s="275"/>
      <c r="J62" s="276" t="str">
        <f t="shared" ref="J62" si="9">IFERROR(IF(ISBLANK(G62),"",(3.14159*((0.5*G62)^2))*I62),"Invalid Data")</f>
        <v/>
      </c>
      <c r="K62" s="277"/>
      <c r="L62" s="278"/>
    </row>
    <row r="63" spans="1:12" ht="18" customHeight="1" thickBot="1" x14ac:dyDescent="0.3">
      <c r="A63" s="271">
        <f>IF(OR('Table 3-A| Emission Units'!A126=0,'Table 3-A| Emission Units'!B126=0),0,'Table 3-A| Emission Units'!A126&amp;"-"&amp;'Table 3-A| Emission Units'!B126)</f>
        <v>0</v>
      </c>
      <c r="B63" s="272" t="str">
        <f ca="1">IF(ISBLANK('Table 3-A| Emission Units'!D126),"",IF(LEN('Table 3-A| Emission Units'!D126)&gt;25,LEFT('Table 3-A| Emission Units'!D126,25)&amp;"…",'Table 3-A| Emission Units'!D126))</f>
        <v/>
      </c>
      <c r="C63" s="273"/>
      <c r="D63" s="274"/>
      <c r="E63" s="275"/>
      <c r="F63" s="275"/>
      <c r="G63" s="275"/>
      <c r="H63" s="275"/>
      <c r="I63" s="275"/>
      <c r="J63" s="276" t="str">
        <f t="shared" ref="J63" si="10">IFERROR(IF(ISBLANK(G63),"",(3.14159*((0.5*G63)^2))*I63),"Invalid Data")</f>
        <v/>
      </c>
      <c r="K63" s="277"/>
      <c r="L63" s="278"/>
    </row>
    <row r="64" spans="1:12" ht="18" customHeight="1" x14ac:dyDescent="0.25">
      <c r="A64" s="1285" t="str">
        <f>IF(ISBLANK('Table 3-A| Emission Units'!A127),"",'Table 3-A| Emission Units'!A127)</f>
        <v>Stationary Engine Emission Units</v>
      </c>
      <c r="B64" s="1286"/>
      <c r="C64" s="1286"/>
      <c r="D64" s="1286"/>
      <c r="E64" s="1286"/>
      <c r="F64" s="1286"/>
      <c r="G64" s="1286"/>
      <c r="H64" s="1286"/>
      <c r="I64" s="1286"/>
      <c r="J64" s="1286"/>
      <c r="K64" s="1286"/>
      <c r="L64" s="1287"/>
    </row>
    <row r="65" spans="1:12" ht="18" customHeight="1" x14ac:dyDescent="0.25">
      <c r="A65" s="271">
        <f>IF(OR('Table 3-A| Emission Units'!A128=0,'Table 3-A| Emission Units'!B128=0),0,'Table 3-A| Emission Units'!A128&amp;"-"&amp;'Table 3-A| Emission Units'!B128)</f>
        <v>0</v>
      </c>
      <c r="B65" s="272" t="str">
        <f ca="1">IF(ISBLANK('Table 3-A| Emission Units'!D128),"",IF(LEN('Table 3-A| Emission Units'!D128)&gt;25,LEFT('Table 3-A| Emission Units'!D128,25)&amp;"…",'Table 3-A| Emission Units'!D128))</f>
        <v/>
      </c>
      <c r="C65" s="273"/>
      <c r="D65" s="274"/>
      <c r="E65" s="275"/>
      <c r="F65" s="275"/>
      <c r="G65" s="275"/>
      <c r="H65" s="275"/>
      <c r="I65" s="275"/>
      <c r="J65" s="276" t="str">
        <f t="shared" ref="J65" si="11">IFERROR(IF(ISBLANK(G65),"",(3.14159*((0.5*G65)^2))*I65),"Invalid Data")</f>
        <v/>
      </c>
      <c r="K65" s="277"/>
      <c r="L65" s="278"/>
    </row>
    <row r="66" spans="1:12" ht="18" customHeight="1" x14ac:dyDescent="0.25">
      <c r="A66" s="271">
        <f>IF(OR('Table 3-A| Emission Units'!A129=0,'Table 3-A| Emission Units'!B129=0),0,'Table 3-A| Emission Units'!A129&amp;"-"&amp;'Table 3-A| Emission Units'!B129)</f>
        <v>0</v>
      </c>
      <c r="B66" s="272" t="str">
        <f ca="1">IF(ISBLANK('Table 3-A| Emission Units'!D129),"",IF(LEN('Table 3-A| Emission Units'!D129)&gt;25,LEFT('Table 3-A| Emission Units'!D129,25)&amp;"…",'Table 3-A| Emission Units'!D129))</f>
        <v/>
      </c>
      <c r="C66" s="273"/>
      <c r="D66" s="274"/>
      <c r="E66" s="275"/>
      <c r="F66" s="275"/>
      <c r="G66" s="275"/>
      <c r="H66" s="275"/>
      <c r="I66" s="275"/>
      <c r="J66" s="276" t="str">
        <f t="shared" ref="J66" si="12">IFERROR(IF(ISBLANK(G66),"",(3.14159*((0.5*G66)^2))*I66),"Invalid Data")</f>
        <v/>
      </c>
      <c r="K66" s="277"/>
      <c r="L66" s="278"/>
    </row>
    <row r="67" spans="1:12" ht="18" customHeight="1" x14ac:dyDescent="0.25">
      <c r="A67" s="271">
        <f>IF(OR('Table 3-A| Emission Units'!A130=0,'Table 3-A| Emission Units'!B130=0),0,'Table 3-A| Emission Units'!A130&amp;"-"&amp;'Table 3-A| Emission Units'!B130)</f>
        <v>0</v>
      </c>
      <c r="B67" s="272" t="str">
        <f ca="1">IF(ISBLANK('Table 3-A| Emission Units'!D130),"",IF(LEN('Table 3-A| Emission Units'!D130)&gt;25,LEFT('Table 3-A| Emission Units'!D130,25)&amp;"…",'Table 3-A| Emission Units'!D130))</f>
        <v/>
      </c>
      <c r="C67" s="273"/>
      <c r="D67" s="274"/>
      <c r="E67" s="275"/>
      <c r="F67" s="275"/>
      <c r="G67" s="275"/>
      <c r="H67" s="275"/>
      <c r="I67" s="275"/>
      <c r="J67" s="276" t="str">
        <f t="shared" ref="J67" si="13">IFERROR(IF(ISBLANK(G67),"",(3.14159*((0.5*G67)^2))*I67),"Invalid Data")</f>
        <v/>
      </c>
      <c r="K67" s="277"/>
      <c r="L67" s="278"/>
    </row>
    <row r="68" spans="1:12" ht="18" customHeight="1" x14ac:dyDescent="0.25">
      <c r="A68" s="271">
        <f>IF(OR('Table 3-A| Emission Units'!A131=0,'Table 3-A| Emission Units'!B131=0),0,'Table 3-A| Emission Units'!A131&amp;"-"&amp;'Table 3-A| Emission Units'!B131)</f>
        <v>0</v>
      </c>
      <c r="B68" s="272" t="str">
        <f ca="1">IF(ISBLANK('Table 3-A| Emission Units'!D131),"",IF(LEN('Table 3-A| Emission Units'!D131)&gt;25,LEFT('Table 3-A| Emission Units'!D131,25)&amp;"…",'Table 3-A| Emission Units'!D131))</f>
        <v/>
      </c>
      <c r="C68" s="273"/>
      <c r="D68" s="274"/>
      <c r="E68" s="275"/>
      <c r="F68" s="275"/>
      <c r="G68" s="275"/>
      <c r="H68" s="275"/>
      <c r="I68" s="275"/>
      <c r="J68" s="276" t="str">
        <f t="shared" ref="J68" si="14">IFERROR(IF(ISBLANK(G68),"",(3.14159*((0.5*G68)^2))*I68),"Invalid Data")</f>
        <v/>
      </c>
      <c r="K68" s="277"/>
      <c r="L68" s="278"/>
    </row>
    <row r="69" spans="1:12" ht="18" customHeight="1" thickBot="1" x14ac:dyDescent="0.3">
      <c r="A69" s="271">
        <f>IF(OR('Table 3-A| Emission Units'!A132=0,'Table 3-A| Emission Units'!B132=0),0,'Table 3-A| Emission Units'!A132&amp;"-"&amp;'Table 3-A| Emission Units'!B132)</f>
        <v>0</v>
      </c>
      <c r="B69" s="272" t="str">
        <f ca="1">IF(ISBLANK('Table 3-A| Emission Units'!D132),"",IF(LEN('Table 3-A| Emission Units'!D132)&gt;25,LEFT('Table 3-A| Emission Units'!D132,25)&amp;"…",'Table 3-A| Emission Units'!D132))</f>
        <v/>
      </c>
      <c r="C69" s="273"/>
      <c r="D69" s="274"/>
      <c r="E69" s="275"/>
      <c r="F69" s="275"/>
      <c r="G69" s="275"/>
      <c r="H69" s="275"/>
      <c r="I69" s="275"/>
      <c r="J69" s="276" t="str">
        <f t="shared" ref="J69" si="15">IFERROR(IF(ISBLANK(G69),"",(3.14159*((0.5*G69)^2))*I69),"Invalid Data")</f>
        <v/>
      </c>
      <c r="K69" s="277"/>
      <c r="L69" s="278"/>
    </row>
    <row r="70" spans="1:12" ht="18" customHeight="1" x14ac:dyDescent="0.25">
      <c r="A70" s="1285" t="str">
        <f>IF(ISBLANK('Table 3-A| Emission Units'!A133),"",'Table 3-A| Emission Units'!A133)</f>
        <v>Miscellaneous Emission Units</v>
      </c>
      <c r="B70" s="1286"/>
      <c r="C70" s="1286"/>
      <c r="D70" s="1286"/>
      <c r="E70" s="1286"/>
      <c r="F70" s="1286"/>
      <c r="G70" s="1286"/>
      <c r="H70" s="1286"/>
      <c r="I70" s="1286"/>
      <c r="J70" s="1286"/>
      <c r="K70" s="1286"/>
      <c r="L70" s="1287"/>
    </row>
    <row r="71" spans="1:12" ht="18" customHeight="1" x14ac:dyDescent="0.25">
      <c r="A71" s="271" t="str">
        <f>IF(ISBLANK('Table 3-A| Emission Units'!A134),"",'Table 3-A| Emission Units'!A134&amp;"-"&amp;'Table 3-A| Emission Units'!B134)</f>
        <v/>
      </c>
      <c r="B71" s="272" t="str">
        <f>IF(ISBLANK('Table 3-A| Emission Units'!D134),"",IF(LEN('Table 3-A| Emission Units'!D134)&gt;25,LEFT('Table 3-A| Emission Units'!D134,25)&amp;"…",'Table 3-A| Emission Units'!D134))</f>
        <v/>
      </c>
      <c r="C71" s="273"/>
      <c r="D71" s="274"/>
      <c r="E71" s="275"/>
      <c r="F71" s="275"/>
      <c r="G71" s="275"/>
      <c r="H71" s="275"/>
      <c r="I71" s="275"/>
      <c r="J71" s="276" t="str">
        <f t="shared" ref="J71:J87" si="16">IFERROR(IF(ISBLANK(G71),"",(3.14159*((0.5*G71)^2))*I71),"Invalid Data")</f>
        <v/>
      </c>
      <c r="K71" s="277"/>
      <c r="L71" s="278"/>
    </row>
    <row r="72" spans="1:12" ht="18" customHeight="1" x14ac:dyDescent="0.25">
      <c r="A72" s="271" t="str">
        <f>IF(ISBLANK('Table 3-A| Emission Units'!A135),"",'Table 3-A| Emission Units'!A135&amp;"-"&amp;'Table 3-A| Emission Units'!B135)</f>
        <v/>
      </c>
      <c r="B72" s="272" t="str">
        <f>IF(ISBLANK('Table 3-A| Emission Units'!D135),"",IF(LEN('Table 3-A| Emission Units'!D135)&gt;25,LEFT('Table 3-A| Emission Units'!D135,25)&amp;"…",'Table 3-A| Emission Units'!D135))</f>
        <v/>
      </c>
      <c r="C72" s="273"/>
      <c r="D72" s="274"/>
      <c r="E72" s="275"/>
      <c r="F72" s="275"/>
      <c r="G72" s="275"/>
      <c r="H72" s="275"/>
      <c r="I72" s="275"/>
      <c r="J72" s="276" t="str">
        <f t="shared" si="16"/>
        <v/>
      </c>
      <c r="K72" s="277"/>
      <c r="L72" s="278"/>
    </row>
    <row r="73" spans="1:12" ht="18" customHeight="1" x14ac:dyDescent="0.25">
      <c r="A73" s="271" t="str">
        <f>IF(ISBLANK('Table 3-A| Emission Units'!A136),"",'Table 3-A| Emission Units'!A136&amp;"-"&amp;'Table 3-A| Emission Units'!B136)</f>
        <v/>
      </c>
      <c r="B73" s="272" t="str">
        <f>IF(ISBLANK('Table 3-A| Emission Units'!D136),"",IF(LEN('Table 3-A| Emission Units'!D136)&gt;25,LEFT('Table 3-A| Emission Units'!D136,25)&amp;"…",'Table 3-A| Emission Units'!D136))</f>
        <v/>
      </c>
      <c r="C73" s="273"/>
      <c r="D73" s="274"/>
      <c r="E73" s="275"/>
      <c r="F73" s="275"/>
      <c r="G73" s="275"/>
      <c r="H73" s="275"/>
      <c r="I73" s="275"/>
      <c r="J73" s="276" t="str">
        <f t="shared" si="16"/>
        <v/>
      </c>
      <c r="K73" s="277"/>
      <c r="L73" s="278"/>
    </row>
    <row r="74" spans="1:12" ht="18" customHeight="1" x14ac:dyDescent="0.25">
      <c r="A74" s="271" t="str">
        <f>IF(ISBLANK('Table 3-A| Emission Units'!A137),"",'Table 3-A| Emission Units'!A137&amp;"-"&amp;'Table 3-A| Emission Units'!B137)</f>
        <v/>
      </c>
      <c r="B74" s="272" t="str">
        <f>IF(ISBLANK('Table 3-A| Emission Units'!D137),"",IF(LEN('Table 3-A| Emission Units'!D137)&gt;25,LEFT('Table 3-A| Emission Units'!D137,25)&amp;"…",'Table 3-A| Emission Units'!D137))</f>
        <v/>
      </c>
      <c r="C74" s="273"/>
      <c r="D74" s="274"/>
      <c r="E74" s="275"/>
      <c r="F74" s="275"/>
      <c r="G74" s="275"/>
      <c r="H74" s="275"/>
      <c r="I74" s="275"/>
      <c r="J74" s="276" t="str">
        <f t="shared" si="16"/>
        <v/>
      </c>
      <c r="K74" s="277"/>
      <c r="L74" s="278"/>
    </row>
    <row r="75" spans="1:12" ht="18" customHeight="1" x14ac:dyDescent="0.25">
      <c r="A75" s="271" t="str">
        <f>IF(ISBLANK('Table 3-A| Emission Units'!A138),"",'Table 3-A| Emission Units'!A138&amp;"-"&amp;'Table 3-A| Emission Units'!B138)</f>
        <v/>
      </c>
      <c r="B75" s="272" t="str">
        <f>IF(ISBLANK('Table 3-A| Emission Units'!D138),"",IF(LEN('Table 3-A| Emission Units'!D138)&gt;25,LEFT('Table 3-A| Emission Units'!D138,25)&amp;"…",'Table 3-A| Emission Units'!D138))</f>
        <v/>
      </c>
      <c r="C75" s="273"/>
      <c r="D75" s="274"/>
      <c r="E75" s="275"/>
      <c r="F75" s="275"/>
      <c r="G75" s="275"/>
      <c r="H75" s="275"/>
      <c r="I75" s="275"/>
      <c r="J75" s="276" t="str">
        <f t="shared" si="16"/>
        <v/>
      </c>
      <c r="K75" s="277"/>
      <c r="L75" s="278"/>
    </row>
    <row r="76" spans="1:12" ht="18" customHeight="1" x14ac:dyDescent="0.25">
      <c r="A76" s="271" t="str">
        <f>IF(ISBLANK('Table 3-A| Emission Units'!A139),"",'Table 3-A| Emission Units'!A139&amp;"-"&amp;'Table 3-A| Emission Units'!B139)</f>
        <v/>
      </c>
      <c r="B76" s="272" t="str">
        <f>IF(ISBLANK('Table 3-A| Emission Units'!D139),"",IF(LEN('Table 3-A| Emission Units'!D139)&gt;25,LEFT('Table 3-A| Emission Units'!D139,25)&amp;"…",'Table 3-A| Emission Units'!D139))</f>
        <v/>
      </c>
      <c r="C76" s="273"/>
      <c r="D76" s="274"/>
      <c r="E76" s="275"/>
      <c r="F76" s="275"/>
      <c r="G76" s="275"/>
      <c r="H76" s="275"/>
      <c r="I76" s="275"/>
      <c r="J76" s="276" t="str">
        <f t="shared" si="16"/>
        <v/>
      </c>
      <c r="K76" s="277"/>
      <c r="L76" s="278"/>
    </row>
    <row r="77" spans="1:12" ht="18" customHeight="1" x14ac:dyDescent="0.25">
      <c r="A77" s="271" t="str">
        <f>IF(ISBLANK('Table 3-A| Emission Units'!A140),"",'Table 3-A| Emission Units'!A140&amp;"-"&amp;'Table 3-A| Emission Units'!B140)</f>
        <v/>
      </c>
      <c r="B77" s="272" t="str">
        <f>IF(ISBLANK('Table 3-A| Emission Units'!D140),"",IF(LEN('Table 3-A| Emission Units'!D140)&gt;25,LEFT('Table 3-A| Emission Units'!D140,25)&amp;"…",'Table 3-A| Emission Units'!D140))</f>
        <v/>
      </c>
      <c r="C77" s="273"/>
      <c r="D77" s="274"/>
      <c r="E77" s="275"/>
      <c r="F77" s="275"/>
      <c r="G77" s="275"/>
      <c r="H77" s="275"/>
      <c r="I77" s="275"/>
      <c r="J77" s="276" t="str">
        <f t="shared" si="16"/>
        <v/>
      </c>
      <c r="K77" s="277"/>
      <c r="L77" s="278"/>
    </row>
    <row r="78" spans="1:12" ht="18" customHeight="1" x14ac:dyDescent="0.25">
      <c r="A78" s="271" t="str">
        <f>IF(ISBLANK('Table 3-A| Emission Units'!A141),"",'Table 3-A| Emission Units'!A141&amp;"-"&amp;'Table 3-A| Emission Units'!B141)</f>
        <v/>
      </c>
      <c r="B78" s="272" t="str">
        <f>IF(ISBLANK('Table 3-A| Emission Units'!D141),"",IF(LEN('Table 3-A| Emission Units'!D141)&gt;25,LEFT('Table 3-A| Emission Units'!D141,25)&amp;"…",'Table 3-A| Emission Units'!D141))</f>
        <v/>
      </c>
      <c r="C78" s="273"/>
      <c r="D78" s="274"/>
      <c r="E78" s="275"/>
      <c r="F78" s="275"/>
      <c r="G78" s="275"/>
      <c r="H78" s="275"/>
      <c r="I78" s="275"/>
      <c r="J78" s="276" t="str">
        <f t="shared" si="16"/>
        <v/>
      </c>
      <c r="K78" s="277"/>
      <c r="L78" s="278"/>
    </row>
    <row r="79" spans="1:12" ht="18" customHeight="1" x14ac:dyDescent="0.25">
      <c r="A79" s="271" t="str">
        <f>IF(ISBLANK('Table 3-A| Emission Units'!A142),"",'Table 3-A| Emission Units'!A142&amp;"-"&amp;'Table 3-A| Emission Units'!B142)</f>
        <v/>
      </c>
      <c r="B79" s="272" t="str">
        <f>IF(ISBLANK('Table 3-A| Emission Units'!D142),"",IF(LEN('Table 3-A| Emission Units'!D142)&gt;25,LEFT('Table 3-A| Emission Units'!D142,25)&amp;"…",'Table 3-A| Emission Units'!D142))</f>
        <v/>
      </c>
      <c r="C79" s="273"/>
      <c r="D79" s="274"/>
      <c r="E79" s="275"/>
      <c r="F79" s="275"/>
      <c r="G79" s="275"/>
      <c r="H79" s="275"/>
      <c r="I79" s="275"/>
      <c r="J79" s="276" t="str">
        <f t="shared" si="16"/>
        <v/>
      </c>
      <c r="K79" s="277"/>
      <c r="L79" s="278"/>
    </row>
    <row r="80" spans="1:12" ht="18" customHeight="1" x14ac:dyDescent="0.25">
      <c r="A80" s="271" t="str">
        <f>IF(ISBLANK('Table 3-A| Emission Units'!A143),"",'Table 3-A| Emission Units'!A143&amp;"-"&amp;'Table 3-A| Emission Units'!B143)</f>
        <v/>
      </c>
      <c r="B80" s="272" t="str">
        <f>IF(ISBLANK('Table 3-A| Emission Units'!D143),"",IF(LEN('Table 3-A| Emission Units'!D143)&gt;25,LEFT('Table 3-A| Emission Units'!D143,25)&amp;"…",'Table 3-A| Emission Units'!D143))</f>
        <v/>
      </c>
      <c r="C80" s="273"/>
      <c r="D80" s="274"/>
      <c r="E80" s="275"/>
      <c r="F80" s="275"/>
      <c r="G80" s="275"/>
      <c r="H80" s="275"/>
      <c r="I80" s="275"/>
      <c r="J80" s="276" t="str">
        <f t="shared" si="16"/>
        <v/>
      </c>
      <c r="K80" s="277"/>
      <c r="L80" s="278"/>
    </row>
    <row r="81" spans="1:12" ht="18" customHeight="1" x14ac:dyDescent="0.25">
      <c r="A81" s="271" t="str">
        <f>IF(ISBLANK('Table 3-A| Emission Units'!A144),"",'Table 3-A| Emission Units'!A144&amp;"-"&amp;'Table 3-A| Emission Units'!B144)</f>
        <v/>
      </c>
      <c r="B81" s="272" t="str">
        <f>IF(ISBLANK('Table 3-A| Emission Units'!D144),"",IF(LEN('Table 3-A| Emission Units'!D144)&gt;25,LEFT('Table 3-A| Emission Units'!D144,25)&amp;"…",'Table 3-A| Emission Units'!D144))</f>
        <v/>
      </c>
      <c r="C81" s="273"/>
      <c r="D81" s="274"/>
      <c r="E81" s="275"/>
      <c r="F81" s="275"/>
      <c r="G81" s="275"/>
      <c r="H81" s="275"/>
      <c r="I81" s="275"/>
      <c r="J81" s="276" t="str">
        <f t="shared" si="16"/>
        <v/>
      </c>
      <c r="K81" s="277"/>
      <c r="L81" s="278"/>
    </row>
    <row r="82" spans="1:12" ht="18" customHeight="1" x14ac:dyDescent="0.25">
      <c r="A82" s="271" t="str">
        <f>IF(ISBLANK('Table 3-A| Emission Units'!A155),"",'Table 3-A| Emission Units'!A155&amp;"-"&amp;'Table 3-A| Emission Units'!B155)</f>
        <v/>
      </c>
      <c r="B82" s="272" t="str">
        <f>IF(ISBLANK('Table 3-A| Emission Units'!D155),"",IF(LEN('Table 3-A| Emission Units'!D155)&gt;25,LEFT('Table 3-A| Emission Units'!D155,25)&amp;"…",'Table 3-A| Emission Units'!D155))</f>
        <v/>
      </c>
      <c r="C82" s="273"/>
      <c r="D82" s="274"/>
      <c r="E82" s="275"/>
      <c r="F82" s="275"/>
      <c r="G82" s="275"/>
      <c r="H82" s="275"/>
      <c r="I82" s="275"/>
      <c r="J82" s="276" t="str">
        <f t="shared" si="16"/>
        <v/>
      </c>
      <c r="K82" s="277"/>
      <c r="L82" s="278"/>
    </row>
    <row r="83" spans="1:12" ht="18" customHeight="1" x14ac:dyDescent="0.25">
      <c r="A83" s="271" t="str">
        <f>IF(ISBLANK('Table 3-A| Emission Units'!A156),"",'Table 3-A| Emission Units'!A156&amp;"-"&amp;'Table 3-A| Emission Units'!B156)</f>
        <v/>
      </c>
      <c r="B83" s="272" t="str">
        <f>IF(ISBLANK('Table 3-A| Emission Units'!D156),"",IF(LEN('Table 3-A| Emission Units'!D156)&gt;25,LEFT('Table 3-A| Emission Units'!D156,25)&amp;"…",'Table 3-A| Emission Units'!D156))</f>
        <v/>
      </c>
      <c r="C83" s="273"/>
      <c r="D83" s="274"/>
      <c r="E83" s="275"/>
      <c r="F83" s="275"/>
      <c r="G83" s="275"/>
      <c r="H83" s="275"/>
      <c r="I83" s="275"/>
      <c r="J83" s="276" t="str">
        <f t="shared" si="16"/>
        <v/>
      </c>
      <c r="K83" s="277"/>
      <c r="L83" s="278"/>
    </row>
    <row r="84" spans="1:12" ht="18" customHeight="1" x14ac:dyDescent="0.25">
      <c r="A84" s="271" t="str">
        <f>IF(ISBLANK('Table 3-A| Emission Units'!A157),"",'Table 3-A| Emission Units'!A157&amp;"-"&amp;'Table 3-A| Emission Units'!B157)</f>
        <v/>
      </c>
      <c r="B84" s="272" t="str">
        <f>IF(ISBLANK('Table 3-A| Emission Units'!D157),"",IF(LEN('Table 3-A| Emission Units'!D157)&gt;25,LEFT('Table 3-A| Emission Units'!D157,25)&amp;"…",'Table 3-A| Emission Units'!D157))</f>
        <v/>
      </c>
      <c r="C84" s="273"/>
      <c r="D84" s="274"/>
      <c r="E84" s="275"/>
      <c r="F84" s="275"/>
      <c r="G84" s="275"/>
      <c r="H84" s="275"/>
      <c r="I84" s="275"/>
      <c r="J84" s="276" t="str">
        <f t="shared" si="16"/>
        <v/>
      </c>
      <c r="K84" s="277"/>
      <c r="L84" s="278"/>
    </row>
    <row r="85" spans="1:12" ht="18" customHeight="1" x14ac:dyDescent="0.25">
      <c r="A85" s="271" t="str">
        <f>IF(ISBLANK('Table 3-A| Emission Units'!A158),"",'Table 3-A| Emission Units'!A158&amp;"-"&amp;'Table 3-A| Emission Units'!B158)</f>
        <v/>
      </c>
      <c r="B85" s="272" t="str">
        <f>IF(ISBLANK('Table 3-A| Emission Units'!D158),"",IF(LEN('Table 3-A| Emission Units'!D158)&gt;25,LEFT('Table 3-A| Emission Units'!D158,25)&amp;"…",'Table 3-A| Emission Units'!D158))</f>
        <v/>
      </c>
      <c r="C85" s="273"/>
      <c r="D85" s="274"/>
      <c r="E85" s="275"/>
      <c r="F85" s="275"/>
      <c r="G85" s="275"/>
      <c r="H85" s="275"/>
      <c r="I85" s="275"/>
      <c r="J85" s="276" t="str">
        <f t="shared" si="16"/>
        <v/>
      </c>
      <c r="K85" s="277"/>
      <c r="L85" s="278"/>
    </row>
    <row r="86" spans="1:12" ht="18" customHeight="1" x14ac:dyDescent="0.25">
      <c r="A86" s="271" t="str">
        <f>IF(ISBLANK('Table 3-A| Emission Units'!A159),"",'Table 3-A| Emission Units'!A159&amp;"-"&amp;'Table 3-A| Emission Units'!B159)</f>
        <v/>
      </c>
      <c r="B86" s="272" t="str">
        <f>IF(ISBLANK('Table 3-A| Emission Units'!D159),"",IF(LEN('Table 3-A| Emission Units'!D159)&gt;25,LEFT('Table 3-A| Emission Units'!D159,25)&amp;"…",'Table 3-A| Emission Units'!D159))</f>
        <v/>
      </c>
      <c r="C86" s="273"/>
      <c r="D86" s="274"/>
      <c r="E86" s="275"/>
      <c r="F86" s="275"/>
      <c r="G86" s="275"/>
      <c r="H86" s="275"/>
      <c r="I86" s="275"/>
      <c r="J86" s="276" t="str">
        <f t="shared" si="16"/>
        <v/>
      </c>
      <c r="K86" s="277"/>
      <c r="L86" s="278"/>
    </row>
    <row r="87" spans="1:12" ht="18" customHeight="1" x14ac:dyDescent="0.25">
      <c r="A87" s="271" t="str">
        <f>IF(ISBLANK('Table 3-A| Emission Units'!A160),"",'Table 3-A| Emission Units'!A160&amp;"-"&amp;'Table 3-A| Emission Units'!B160)</f>
        <v/>
      </c>
      <c r="B87" s="272" t="str">
        <f>IF(ISBLANK('Table 3-A| Emission Units'!D160),"",IF(LEN('Table 3-A| Emission Units'!D160)&gt;25,LEFT('Table 3-A| Emission Units'!D160,25)&amp;"…",'Table 3-A| Emission Units'!D160))</f>
        <v/>
      </c>
      <c r="C87" s="273"/>
      <c r="D87" s="274"/>
      <c r="E87" s="275"/>
      <c r="F87" s="275"/>
      <c r="G87" s="275"/>
      <c r="H87" s="275"/>
      <c r="I87" s="275"/>
      <c r="J87" s="276" t="str">
        <f t="shared" si="16"/>
        <v/>
      </c>
      <c r="K87" s="277"/>
      <c r="L87" s="278"/>
    </row>
    <row r="88" spans="1:12" ht="18" customHeight="1" x14ac:dyDescent="0.25">
      <c r="A88" s="271" t="str">
        <f>IF(ISBLANK('Table 3-A| Emission Units'!A161),"",'Table 3-A| Emission Units'!A161&amp;"-"&amp;'Table 3-A| Emission Units'!B161)</f>
        <v/>
      </c>
      <c r="B88" s="272" t="str">
        <f>IF(ISBLANK('Table 3-A| Emission Units'!D161),"",IF(LEN('Table 3-A| Emission Units'!D161)&gt;25,LEFT('Table 3-A| Emission Units'!D161,25)&amp;"…",'Table 3-A| Emission Units'!D161))</f>
        <v/>
      </c>
      <c r="C88" s="273"/>
      <c r="D88" s="274"/>
      <c r="E88" s="275"/>
      <c r="F88" s="275"/>
      <c r="G88" s="275"/>
      <c r="H88" s="275"/>
      <c r="I88" s="275"/>
      <c r="J88" s="276" t="str">
        <f t="shared" ref="J88:J93" si="17">IFERROR(IF(ISBLANK(G88),"",(3.14159*((0.5*G88)^2))*I88),"Invalid Data")</f>
        <v/>
      </c>
      <c r="K88" s="277"/>
      <c r="L88" s="278"/>
    </row>
    <row r="89" spans="1:12" ht="18" customHeight="1" x14ac:dyDescent="0.25">
      <c r="A89" s="271" t="str">
        <f>IF(ISBLANK('Table 3-A| Emission Units'!A162),"",'Table 3-A| Emission Units'!A162&amp;"-"&amp;'Table 3-A| Emission Units'!B162)</f>
        <v/>
      </c>
      <c r="B89" s="272" t="str">
        <f>IF(ISBLANK('Table 3-A| Emission Units'!D162),"",IF(LEN('Table 3-A| Emission Units'!D162)&gt;25,LEFT('Table 3-A| Emission Units'!D162,25)&amp;"…",'Table 3-A| Emission Units'!D162))</f>
        <v/>
      </c>
      <c r="C89" s="273"/>
      <c r="D89" s="274"/>
      <c r="E89" s="275"/>
      <c r="F89" s="275"/>
      <c r="G89" s="275"/>
      <c r="H89" s="275"/>
      <c r="I89" s="275"/>
      <c r="J89" s="276" t="str">
        <f t="shared" si="17"/>
        <v/>
      </c>
      <c r="K89" s="277"/>
      <c r="L89" s="278"/>
    </row>
    <row r="90" spans="1:12" ht="18" customHeight="1" x14ac:dyDescent="0.25">
      <c r="A90" s="271" t="str">
        <f>IF(ISBLANK('Table 3-A| Emission Units'!A163),"",'Table 3-A| Emission Units'!A163&amp;"-"&amp;'Table 3-A| Emission Units'!B163)</f>
        <v/>
      </c>
      <c r="B90" s="272" t="str">
        <f>IF(ISBLANK('Table 3-A| Emission Units'!D163),"",IF(LEN('Table 3-A| Emission Units'!D163)&gt;25,LEFT('Table 3-A| Emission Units'!D163,25)&amp;"…",'Table 3-A| Emission Units'!D163))</f>
        <v/>
      </c>
      <c r="C90" s="273"/>
      <c r="D90" s="274"/>
      <c r="E90" s="275"/>
      <c r="F90" s="275"/>
      <c r="G90" s="275"/>
      <c r="H90" s="275"/>
      <c r="I90" s="275"/>
      <c r="J90" s="276" t="str">
        <f t="shared" si="17"/>
        <v/>
      </c>
      <c r="K90" s="277"/>
      <c r="L90" s="278"/>
    </row>
    <row r="91" spans="1:12" ht="18" customHeight="1" x14ac:dyDescent="0.25">
      <c r="A91" s="271" t="str">
        <f>IF(ISBLANK('Table 3-A| Emission Units'!A164),"",'Table 3-A| Emission Units'!A164&amp;"-"&amp;'Table 3-A| Emission Units'!B164)</f>
        <v/>
      </c>
      <c r="B91" s="272" t="str">
        <f>IF(ISBLANK('Table 3-A| Emission Units'!D164),"",IF(LEN('Table 3-A| Emission Units'!D164)&gt;25,LEFT('Table 3-A| Emission Units'!D164,25)&amp;"…",'Table 3-A| Emission Units'!D164))</f>
        <v/>
      </c>
      <c r="C91" s="273"/>
      <c r="D91" s="274"/>
      <c r="E91" s="275"/>
      <c r="F91" s="275"/>
      <c r="G91" s="275"/>
      <c r="H91" s="275"/>
      <c r="I91" s="275"/>
      <c r="J91" s="276" t="str">
        <f t="shared" si="17"/>
        <v/>
      </c>
      <c r="K91" s="277"/>
      <c r="L91" s="278"/>
    </row>
    <row r="92" spans="1:12" ht="18" customHeight="1" x14ac:dyDescent="0.25">
      <c r="A92" s="271" t="str">
        <f>IF(ISBLANK('Table 3-A| Emission Units'!A165),"",'Table 3-A| Emission Units'!A165&amp;"-"&amp;'Table 3-A| Emission Units'!B165)</f>
        <v/>
      </c>
      <c r="B92" s="272" t="str">
        <f>IF(ISBLANK('Table 3-A| Emission Units'!D165),"",IF(LEN('Table 3-A| Emission Units'!D165)&gt;25,LEFT('Table 3-A| Emission Units'!D165,25)&amp;"…",'Table 3-A| Emission Units'!D165))</f>
        <v/>
      </c>
      <c r="C92" s="273"/>
      <c r="D92" s="274"/>
      <c r="E92" s="275"/>
      <c r="F92" s="275"/>
      <c r="G92" s="275"/>
      <c r="H92" s="275"/>
      <c r="I92" s="275"/>
      <c r="J92" s="276" t="str">
        <f t="shared" si="17"/>
        <v/>
      </c>
      <c r="K92" s="277"/>
      <c r="L92" s="278"/>
    </row>
    <row r="93" spans="1:12" ht="18" customHeight="1" thickBot="1" x14ac:dyDescent="0.3">
      <c r="A93" s="279" t="str">
        <f>IF(ISBLANK('Table 3-A| Emission Units'!A166),"",'Table 3-A| Emission Units'!A166&amp;"-"&amp;'Table 3-A| Emission Units'!B166)</f>
        <v/>
      </c>
      <c r="B93" s="280" t="str">
        <f>IF(ISBLANK('Table 3-A| Emission Units'!D166),"",IF(LEN('Table 3-A| Emission Units'!D166)&gt;25,LEFT('Table 3-A| Emission Units'!D166,25)&amp;"…",'Table 3-A| Emission Units'!D166))</f>
        <v/>
      </c>
      <c r="C93" s="281"/>
      <c r="D93" s="282"/>
      <c r="E93" s="283"/>
      <c r="F93" s="283"/>
      <c r="G93" s="283"/>
      <c r="H93" s="283"/>
      <c r="I93" s="283"/>
      <c r="J93" s="284" t="str">
        <f t="shared" si="17"/>
        <v/>
      </c>
      <c r="K93" s="285"/>
      <c r="L93" s="286"/>
    </row>
    <row r="94" spans="1:12" ht="18" customHeight="1" x14ac:dyDescent="0.25"/>
    <row r="95" spans="1:12" ht="18" customHeight="1" x14ac:dyDescent="0.25"/>
    <row r="96" spans="1:12"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sheetData>
  <sheetProtection algorithmName="SHA-512" hashValue="nEmErFGXc5UhQEnrhBvpha6svakNRpvWLuxazyRHnqQ/ugvSTrsBIr8NkC7S40758GFqX+ZgaxdLxeEA0CJLqA==" saltValue="9L37SibtvGd5EQsyI1LrHg==" spinCount="100000" sheet="1" objects="1" scenarios="1"/>
  <mergeCells count="54">
    <mergeCell ref="A39:L39"/>
    <mergeCell ref="A55:L55"/>
    <mergeCell ref="A57:L57"/>
    <mergeCell ref="A64:L64"/>
    <mergeCell ref="A70:L70"/>
    <mergeCell ref="A31:L31"/>
    <mergeCell ref="B10:L10"/>
    <mergeCell ref="B9:L9"/>
    <mergeCell ref="B8:L8"/>
    <mergeCell ref="B7:L7"/>
    <mergeCell ref="A30:L30"/>
    <mergeCell ref="A24:B24"/>
    <mergeCell ref="A23:B23"/>
    <mergeCell ref="G28:H29"/>
    <mergeCell ref="I28:J29"/>
    <mergeCell ref="A27:B27"/>
    <mergeCell ref="A26:B26"/>
    <mergeCell ref="A25:B25"/>
    <mergeCell ref="K28:L29"/>
    <mergeCell ref="F28:F29"/>
    <mergeCell ref="I23:J23"/>
    <mergeCell ref="AG32:AG33"/>
    <mergeCell ref="A33:L33"/>
    <mergeCell ref="A34:L34"/>
    <mergeCell ref="B37:B38"/>
    <mergeCell ref="A37:A38"/>
    <mergeCell ref="K37:K38"/>
    <mergeCell ref="AF32:AF33"/>
    <mergeCell ref="L37:L38"/>
    <mergeCell ref="A35:L35"/>
    <mergeCell ref="A1:L1"/>
    <mergeCell ref="A3:L3"/>
    <mergeCell ref="A2:L2"/>
    <mergeCell ref="A12:A13"/>
    <mergeCell ref="B12:B13"/>
    <mergeCell ref="K12:K13"/>
    <mergeCell ref="L12:L13"/>
    <mergeCell ref="B5:L5"/>
    <mergeCell ref="B4:L4"/>
    <mergeCell ref="B6:L6"/>
    <mergeCell ref="A14:L14"/>
    <mergeCell ref="K23:L23"/>
    <mergeCell ref="A21:L21"/>
    <mergeCell ref="A28:B29"/>
    <mergeCell ref="I24:J24"/>
    <mergeCell ref="K24:L24"/>
    <mergeCell ref="K25:L25"/>
    <mergeCell ref="I25:J25"/>
    <mergeCell ref="K26:L26"/>
    <mergeCell ref="I26:J26"/>
    <mergeCell ref="K27:L27"/>
    <mergeCell ref="I27:J27"/>
    <mergeCell ref="D27:E27"/>
    <mergeCell ref="D28:E28"/>
  </mergeCells>
  <conditionalFormatting sqref="A39:L69">
    <cfRule type="expression" dxfId="191" priority="1" stopIfTrue="1">
      <formula>$A39=0</formula>
    </cfRule>
  </conditionalFormatting>
  <conditionalFormatting sqref="B15:B20">
    <cfRule type="expression" dxfId="190" priority="124">
      <formula>AND(NOT(ISBLANK(A15)),ISBLANK(B15))</formula>
    </cfRule>
  </conditionalFormatting>
  <conditionalFormatting sqref="C15:C20">
    <cfRule type="expression" dxfId="189" priority="105">
      <formula>AND(NOT(ISBLANK(A15)),NOT(ISBLANK(B15)),ISBLANK(C15))</formula>
    </cfRule>
  </conditionalFormatting>
  <conditionalFormatting sqref="C40:C51">
    <cfRule type="expression" dxfId="188" priority="79">
      <formula>AND(NOT(ISBLANK(C40)),OR(C40&gt;41.05,C40&lt;40.52))</formula>
    </cfRule>
  </conditionalFormatting>
  <conditionalFormatting sqref="C52:C53">
    <cfRule type="expression" dxfId="187" priority="74">
      <formula>AND(NOT(ISBLANK(C52)),OR(C52&gt;41.05,C52&lt;40.52))</formula>
    </cfRule>
  </conditionalFormatting>
  <conditionalFormatting sqref="C56 C71:C93 C54">
    <cfRule type="expression" dxfId="186" priority="100">
      <formula>AND(NOT(ISBLANK(C54)),OR(C54&gt;41.05,C54&lt;40.52))</formula>
    </cfRule>
  </conditionalFormatting>
  <conditionalFormatting sqref="C58:C63">
    <cfRule type="expression" dxfId="185" priority="39">
      <formula>AND(NOT(ISBLANK(C58)),OR(C58&gt;41.05,C58&lt;40.52))</formula>
    </cfRule>
  </conditionalFormatting>
  <conditionalFormatting sqref="C65:C69">
    <cfRule type="expression" dxfId="184" priority="9">
      <formula>AND(NOT(ISBLANK(C65)),OR(C65&gt;41.05,C65&lt;40.52))</formula>
    </cfRule>
  </conditionalFormatting>
  <conditionalFormatting sqref="C16:E20">
    <cfRule type="expression" dxfId="183" priority="106">
      <formula>AND(NOT(ISNUMBER(C16)),NOT(ISBLANK(C16)))</formula>
    </cfRule>
  </conditionalFormatting>
  <conditionalFormatting sqref="C15:H15">
    <cfRule type="expression" dxfId="182" priority="134">
      <formula>AND(NOT(ISNUMBER(C15)),NOT(ISBLANK(C15)))</formula>
    </cfRule>
  </conditionalFormatting>
  <conditionalFormatting sqref="C40:I51">
    <cfRule type="expression" dxfId="181" priority="82">
      <formula>ISTEXT(C40)</formula>
    </cfRule>
  </conditionalFormatting>
  <conditionalFormatting sqref="C52:I53">
    <cfRule type="expression" dxfId="180" priority="77">
      <formula>ISTEXT(C52)</formula>
    </cfRule>
  </conditionalFormatting>
  <conditionalFormatting sqref="C54:I54 C56:I56 C71:I93">
    <cfRule type="expression" dxfId="179" priority="173">
      <formula>ISTEXT(C54)</formula>
    </cfRule>
  </conditionalFormatting>
  <conditionalFormatting sqref="C58:I63">
    <cfRule type="expression" dxfId="178" priority="42">
      <formula>ISTEXT(C58)</formula>
    </cfRule>
  </conditionalFormatting>
  <conditionalFormatting sqref="C65:I69">
    <cfRule type="expression" dxfId="177" priority="12">
      <formula>ISTEXT(C65)</formula>
    </cfRule>
  </conditionalFormatting>
  <conditionalFormatting sqref="C40:J54 L40:L54">
    <cfRule type="expression" dxfId="176" priority="78" stopIfTrue="1">
      <formula>$K40="Fugitive"</formula>
    </cfRule>
  </conditionalFormatting>
  <conditionalFormatting sqref="C56:J56 L56 C15:J20 L15:L20 C71:J93 L71:L93">
    <cfRule type="expression" dxfId="175" priority="98" stopIfTrue="1">
      <formula>$K15="Fugitive"</formula>
    </cfRule>
  </conditionalFormatting>
  <conditionalFormatting sqref="C58:J63 L58:L63">
    <cfRule type="expression" dxfId="174" priority="38" stopIfTrue="1">
      <formula>$K58="Fugitive"</formula>
    </cfRule>
  </conditionalFormatting>
  <conditionalFormatting sqref="C65:J69 L65:L69">
    <cfRule type="expression" dxfId="173" priority="8" stopIfTrue="1">
      <formula>$K65="Fugitive"</formula>
    </cfRule>
  </conditionalFormatting>
  <conditionalFormatting sqref="C39:L69">
    <cfRule type="expression" dxfId="172" priority="2">
      <formula>LEFT($A38,2)=LEFT($A39,2)</formula>
    </cfRule>
  </conditionalFormatting>
  <conditionalFormatting sqref="C40:L51">
    <cfRule type="expression" dxfId="171" priority="81">
      <formula>AND(NOT($A40=""),ISBLANK(C40))</formula>
    </cfRule>
  </conditionalFormatting>
  <conditionalFormatting sqref="C52:L54 C56:L56 C71:L93">
    <cfRule type="expression" dxfId="170" priority="172">
      <formula>AND(NOT($A52=""),ISBLANK(C52))</formula>
    </cfRule>
  </conditionalFormatting>
  <conditionalFormatting sqref="C58:L63">
    <cfRule type="expression" dxfId="169" priority="41">
      <formula>AND(NOT($A58=""),ISBLANK(C58))</formula>
    </cfRule>
  </conditionalFormatting>
  <conditionalFormatting sqref="C65:L69">
    <cfRule type="expression" dxfId="168" priority="11">
      <formula>AND(NOT($A65=""),ISBLANK(C65))</formula>
    </cfRule>
  </conditionalFormatting>
  <conditionalFormatting sqref="D15:D20">
    <cfRule type="expression" dxfId="167" priority="104">
      <formula>AND(NOT(ISBLANK(A15)),NOT(ISBLANK(B15)),NOT(ISBLANK(C15)),ISBLANK(D15))</formula>
    </cfRule>
  </conditionalFormatting>
  <conditionalFormatting sqref="D40:D51">
    <cfRule type="expression" dxfId="166" priority="80">
      <formula>AND(NOT(ISBLANK(D40)),OR(D40&gt;96.92,D40&lt;96.46))</formula>
    </cfRule>
  </conditionalFormatting>
  <conditionalFormatting sqref="D52:D53">
    <cfRule type="expression" dxfId="165" priority="75">
      <formula>AND(NOT(ISBLANK(D52)),OR(D52&gt;96.92,D52&lt;96.46))</formula>
    </cfRule>
  </conditionalFormatting>
  <conditionalFormatting sqref="D56 D71:D93 D54">
    <cfRule type="expression" dxfId="164" priority="102">
      <formula>AND(NOT(ISBLANK(D54)),OR(D54&gt;96.92,D54&lt;96.46))</formula>
    </cfRule>
  </conditionalFormatting>
  <conditionalFormatting sqref="D58:D63">
    <cfRule type="expression" dxfId="163" priority="40">
      <formula>AND(NOT(ISBLANK(D58)),OR(D58&gt;96.92,D58&lt;96.46))</formula>
    </cfRule>
  </conditionalFormatting>
  <conditionalFormatting sqref="D65:D69">
    <cfRule type="expression" dxfId="162" priority="10">
      <formula>AND(NOT(ISBLANK(D65)),OR(D65&gt;96.92,D65&lt;96.46))</formula>
    </cfRule>
  </conditionalFormatting>
  <conditionalFormatting sqref="E15:E20">
    <cfRule type="expression" dxfId="161" priority="103">
      <formula>AND(NOT(ISBLANK(A15)),NOT(ISBLANK(B15)),NOT(ISBLANK(C15)),NOT(ISBLANK(D15)),ISBLANK(E15))</formula>
    </cfRule>
  </conditionalFormatting>
  <conditionalFormatting sqref="F15:F20">
    <cfRule type="expression" dxfId="160" priority="114">
      <formula>AND(NOT(ISBLANK(A15)),NOT(ISBLANK(B15)),NOT(ISBLANK(C15)),NOT(ISBLANK(D15)),NOT(ISBLANK(E15)),ISBLANK(F15))</formula>
    </cfRule>
  </conditionalFormatting>
  <conditionalFormatting sqref="F16:H20">
    <cfRule type="expression" dxfId="159" priority="118">
      <formula>AND(NOT(ISNUMBER(F16)),NOT(ISBLANK(F16)))</formula>
    </cfRule>
  </conditionalFormatting>
  <conditionalFormatting sqref="G15:G20">
    <cfRule type="expression" dxfId="158" priority="111">
      <formula>AND(NOT(ISBLANK(A15)),NOT(ISBLANK(B15)),NOT(ISBLANK(C15)),NOT(ISBLANK(D15)),NOT(ISBLANK(E15)),NOT(ISBLANK(F15)),ISBLANK(G15))</formula>
    </cfRule>
  </conditionalFormatting>
  <conditionalFormatting sqref="H15:H20">
    <cfRule type="expression" dxfId="157" priority="113">
      <formula>AND(NOT(ISBLANK(A15)),NOT(ISBLANK(B15)),NOT(ISBLANK(C15)),NOT(ISBLANK(D15)),NOT(ISBLANK(E15)),NOT(ISBLANK(F15)),NOT(ISBLANK(G15)),ISBLANK(H15))</formula>
    </cfRule>
  </conditionalFormatting>
  <conditionalFormatting sqref="I15:I20">
    <cfRule type="expression" dxfId="156" priority="112">
      <formula>AND(NOT(ISBLANK(A15)),NOT(ISBLANK(B15)),NOT(ISBLANK(C15)),NOT(ISBLANK(D15)),NOT(ISBLANK(E15)),NOT(ISBLANK(F15)),NOT(ISBLANK(H15)),ISBLANK(I15))</formula>
    </cfRule>
  </conditionalFormatting>
  <conditionalFormatting sqref="K15:K20">
    <cfRule type="expression" dxfId="155" priority="110">
      <formula>AND(NOT(ISBLANK(A15)),NOT(ISBLANK(B15)),NOT(ISBLANK(C15)),NOT(ISBLANK(D15)),NOT(ISBLANK(E15)),NOT(ISBLANK(F15)),NOT(ISBLANK(H15)),NOT(ISBLANK(I15)),ISBLANK(K15))</formula>
    </cfRule>
  </conditionalFormatting>
  <conditionalFormatting sqref="L15:L20">
    <cfRule type="expression" dxfId="154" priority="109">
      <formula>AND(NOT(ISBLANK(A15)),NOT(ISBLANK(B15)),NOT(ISBLANK(C15)),NOT(ISBLANK(D15)),NOT(ISBLANK(E15)),NOT(ISBLANK(F15)),NOT(ISBLANK(H15)),NOT(ISBLANK(I15)),NOT(ISBLANK(K15)),ISBLANK(L15))</formula>
    </cfRule>
  </conditionalFormatting>
  <dataValidations disablePrompts="1" count="6">
    <dataValidation type="decimal" allowBlank="1" showInputMessage="1" showErrorMessage="1" errorTitle="Invalid Entry" error="Coordinates are outside of Lancaster County." sqref="C71:C93 C40:C54 C56 C58:C63 C65:C69" xr:uid="{00000000-0002-0000-0400-000000000000}">
      <formula1>40.52</formula1>
      <formula2>41.05</formula2>
    </dataValidation>
    <dataValidation type="decimal" allowBlank="1" showInputMessage="1" showErrorMessage="1" errorTitle="Invalid Entry" error="Coordinates are outside of Lancaster County." sqref="D71:D93 D40:D54 D56 D58:D63 D65:D69" xr:uid="{00000000-0002-0000-0400-000001000000}">
      <formula1>96.46</formula1>
      <formula2>96.92</formula2>
    </dataValidation>
    <dataValidation type="list" showInputMessage="1" showErrorMessage="1" errorTitle="Error" error="Must select either Vertical or Horizontal!" promptTitle="Select One" prompt="Please indicate whether the stack or release point is oriented vertically or horizontally." sqref="K15:K20" xr:uid="{00000000-0002-0000-0400-000002000000}">
      <formula1>$AF$13:$AF$15</formula1>
    </dataValidation>
    <dataValidation type="list" showInputMessage="1" showErrorMessage="1" errorTitle="Error" error="Must select either Yes or No!" promptTitle="Select One" prompt="Indicate whether or not this stack is equipped with a raincap." sqref="L15:L20" xr:uid="{00000000-0002-0000-0400-000003000000}">
      <formula1>$AG$13:$AG$14</formula1>
    </dataValidation>
    <dataValidation type="list" errorStyle="warning" showInputMessage="1" showErrorMessage="1" errorTitle="Error" error="Must select either Vertical, Horizontal, or Fugitive!" promptTitle="Select One" prompt="Please indicate whether the stack or release point is oriented vertically or horizontally, or if emissions are fugitive." sqref="K71:K93 K40:K54 K56 K58:K63 K65:K69" xr:uid="{00000000-0002-0000-0400-000004000000}">
      <formula1>$AF$34:$AF$36</formula1>
    </dataValidation>
    <dataValidation type="list" errorStyle="warning" showInputMessage="1" showErrorMessage="1" errorTitle="Error" error="Must select either Yes or No!" promptTitle="Select One" prompt="Indicate whether or not this stack is equipped with a raincap." sqref="L71:L93 L40:L54 L56 L58:L63 L65:L69" xr:uid="{00000000-0002-0000-0400-000005000000}">
      <formula1>$AG$34:$AG$35</formula1>
    </dataValidation>
  </dataValidations>
  <printOptions horizontalCentered="1"/>
  <pageMargins left="0.5" right="0.5" top="0.5" bottom="0.5" header="0.3" footer="0.3"/>
  <pageSetup scale="73" fitToHeight="0" orientation="landscape" r:id="rId1"/>
  <headerFooter>
    <oddFooter>&amp;L&amp;12&amp;A&amp;R&amp;10Page &amp;P</oddFooter>
  </headerFooter>
  <ignoredErrors>
    <ignoredError sqref="J71:J9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C00000"/>
    <pageSetUpPr fitToPage="1"/>
  </sheetPr>
  <dimension ref="A1:R69"/>
  <sheetViews>
    <sheetView zoomScaleNormal="100" workbookViewId="0">
      <selection sqref="A1:R1"/>
    </sheetView>
  </sheetViews>
  <sheetFormatPr defaultRowHeight="20.100000000000001" customHeight="1" x14ac:dyDescent="0.25"/>
  <cols>
    <col min="1" max="1" width="9.140625" style="92" customWidth="1"/>
    <col min="2" max="16384" width="9.140625" style="92"/>
  </cols>
  <sheetData>
    <row r="1" spans="1:18" s="91" customFormat="1" ht="30" customHeight="1" thickBot="1" x14ac:dyDescent="0.3">
      <c r="A1" s="1300" t="s">
        <v>1702</v>
      </c>
      <c r="B1" s="1300"/>
      <c r="C1" s="1300"/>
      <c r="D1" s="1300"/>
      <c r="E1" s="1300"/>
      <c r="F1" s="1300"/>
      <c r="G1" s="1300"/>
      <c r="H1" s="1300"/>
      <c r="I1" s="1300"/>
      <c r="J1" s="1300"/>
      <c r="K1" s="1300"/>
      <c r="L1" s="1300"/>
      <c r="M1" s="1300"/>
      <c r="N1" s="1300"/>
      <c r="O1" s="1300"/>
      <c r="P1" s="1300"/>
      <c r="Q1" s="1300"/>
      <c r="R1" s="1300"/>
    </row>
    <row r="2" spans="1:18" ht="39.950000000000003" customHeight="1" x14ac:dyDescent="0.25">
      <c r="A2" s="1204" t="s">
        <v>1849</v>
      </c>
      <c r="B2" s="1204"/>
      <c r="C2" s="1204"/>
      <c r="D2" s="1204"/>
      <c r="E2" s="1204"/>
      <c r="F2" s="1204"/>
      <c r="G2" s="1204"/>
      <c r="H2" s="1204"/>
      <c r="I2" s="1204"/>
      <c r="J2" s="1204"/>
      <c r="K2" s="1204"/>
      <c r="L2" s="1204"/>
      <c r="M2" s="1204"/>
      <c r="N2" s="1204"/>
      <c r="O2" s="1204"/>
      <c r="P2" s="1204"/>
      <c r="Q2" s="1204"/>
      <c r="R2" s="1204"/>
    </row>
    <row r="3" spans="1:18" ht="60" customHeight="1" thickBot="1" x14ac:dyDescent="0.3">
      <c r="A3" s="1204" t="s">
        <v>1765</v>
      </c>
      <c r="B3" s="1204"/>
      <c r="C3" s="1204"/>
      <c r="D3" s="1204"/>
      <c r="E3" s="1204"/>
      <c r="F3" s="1204"/>
      <c r="G3" s="1204"/>
      <c r="H3" s="1204"/>
      <c r="I3" s="1204"/>
      <c r="J3" s="1204"/>
      <c r="K3" s="1204"/>
      <c r="L3" s="1204"/>
      <c r="M3" s="1204"/>
      <c r="N3" s="1204"/>
      <c r="O3" s="1204"/>
      <c r="P3" s="1204"/>
      <c r="Q3" s="1204"/>
      <c r="R3" s="1204"/>
    </row>
    <row r="4" spans="1:18" s="487" customFormat="1" ht="20.100000000000001" customHeight="1" thickBot="1" x14ac:dyDescent="0.3">
      <c r="A4" s="1304" t="s">
        <v>1494</v>
      </c>
      <c r="B4" s="1305"/>
      <c r="C4" s="1305"/>
      <c r="D4" s="1305"/>
      <c r="E4" s="1305"/>
      <c r="F4" s="1305"/>
      <c r="G4" s="1305"/>
      <c r="H4" s="1305"/>
      <c r="I4" s="1305"/>
      <c r="J4" s="1305"/>
      <c r="K4" s="1305"/>
      <c r="L4" s="1305"/>
      <c r="M4" s="1305"/>
      <c r="N4" s="1305"/>
      <c r="O4" s="1305"/>
      <c r="P4" s="1305"/>
      <c r="Q4" s="1305"/>
      <c r="R4" s="1305"/>
    </row>
    <row r="5" spans="1:18" ht="60" customHeight="1" x14ac:dyDescent="0.25">
      <c r="A5" s="1204" t="s">
        <v>1445</v>
      </c>
      <c r="B5" s="1204"/>
      <c r="C5" s="1204"/>
      <c r="D5" s="1204"/>
      <c r="E5" s="1204"/>
      <c r="F5" s="1204"/>
      <c r="G5" s="1204"/>
      <c r="H5" s="1204"/>
      <c r="I5" s="1204"/>
      <c r="J5" s="1204"/>
      <c r="K5" s="1204"/>
      <c r="L5" s="1204"/>
      <c r="M5" s="1204"/>
      <c r="N5" s="1204"/>
      <c r="O5" s="1204"/>
      <c r="P5" s="1204"/>
      <c r="Q5" s="1204"/>
      <c r="R5" s="1204"/>
    </row>
    <row r="6" spans="1:18" ht="80.099999999999994" customHeight="1" x14ac:dyDescent="0.25">
      <c r="A6" s="1204" t="s">
        <v>1766</v>
      </c>
      <c r="B6" s="1204"/>
      <c r="C6" s="1204"/>
      <c r="D6" s="1204"/>
      <c r="E6" s="1204"/>
      <c r="F6" s="1204"/>
      <c r="G6" s="1204"/>
      <c r="H6" s="1204"/>
      <c r="I6" s="1204"/>
      <c r="J6" s="1204"/>
      <c r="K6" s="1204"/>
      <c r="L6" s="1204"/>
      <c r="M6" s="1204"/>
      <c r="N6" s="1204"/>
      <c r="O6" s="1204"/>
      <c r="P6" s="1204"/>
      <c r="Q6" s="1204"/>
      <c r="R6" s="1204"/>
    </row>
    <row r="7" spans="1:18" ht="19.5" customHeight="1" thickBot="1" x14ac:dyDescent="0.3">
      <c r="A7" s="1307" t="s">
        <v>1444</v>
      </c>
      <c r="B7" s="1307"/>
      <c r="C7" s="1307"/>
      <c r="D7" s="1307"/>
      <c r="E7" s="1307"/>
      <c r="F7" s="1307"/>
      <c r="G7" s="1307"/>
      <c r="H7" s="1307"/>
      <c r="I7" s="1307"/>
      <c r="J7" s="1307"/>
      <c r="K7" s="1307"/>
      <c r="L7" s="1307"/>
      <c r="M7" s="1307"/>
      <c r="N7" s="1307"/>
      <c r="O7" s="1307"/>
      <c r="P7" s="1307"/>
      <c r="Q7" s="1307"/>
      <c r="R7" s="1307"/>
    </row>
    <row r="8" spans="1:18" s="487" customFormat="1" ht="20.100000000000001" customHeight="1" thickBot="1" x14ac:dyDescent="0.3">
      <c r="A8" s="1304" t="s">
        <v>1493</v>
      </c>
      <c r="B8" s="1305"/>
      <c r="C8" s="1305"/>
      <c r="D8" s="1305"/>
      <c r="E8" s="1305"/>
      <c r="F8" s="1305"/>
      <c r="G8" s="1305"/>
      <c r="H8" s="1305"/>
      <c r="I8" s="1305"/>
      <c r="J8" s="1305"/>
      <c r="K8" s="1305"/>
      <c r="L8" s="1305"/>
      <c r="M8" s="1305"/>
      <c r="N8" s="1305"/>
      <c r="O8" s="1305"/>
      <c r="P8" s="1305"/>
      <c r="Q8" s="1305"/>
      <c r="R8" s="1305"/>
    </row>
    <row r="9" spans="1:18" ht="39.950000000000003" customHeight="1" x14ac:dyDescent="0.25">
      <c r="A9" s="1306" t="s">
        <v>1845</v>
      </c>
      <c r="B9" s="1306"/>
      <c r="C9" s="1306"/>
      <c r="D9" s="1306"/>
      <c r="E9" s="1306"/>
      <c r="F9" s="1306"/>
      <c r="G9" s="1306"/>
      <c r="H9" s="1306"/>
      <c r="I9" s="1306"/>
      <c r="J9" s="1306"/>
      <c r="K9" s="1306"/>
      <c r="L9" s="1306"/>
      <c r="M9" s="1306"/>
      <c r="N9" s="1306"/>
      <c r="O9" s="1306"/>
      <c r="P9" s="1306"/>
      <c r="Q9" s="1306"/>
      <c r="R9" s="1306"/>
    </row>
    <row r="10" spans="1:18" ht="95.1" customHeight="1" thickBot="1" x14ac:dyDescent="0.3">
      <c r="A10" s="1204" t="s">
        <v>1846</v>
      </c>
      <c r="B10" s="1204"/>
      <c r="C10" s="1204"/>
      <c r="D10" s="1204"/>
      <c r="E10" s="1204"/>
      <c r="F10" s="1204"/>
      <c r="G10" s="1204"/>
      <c r="H10" s="1204"/>
      <c r="I10" s="1204"/>
      <c r="J10" s="1204"/>
      <c r="K10" s="1204"/>
      <c r="L10" s="1204"/>
      <c r="M10" s="1204"/>
      <c r="N10" s="1204"/>
      <c r="O10" s="1204"/>
      <c r="P10" s="1204"/>
      <c r="Q10" s="1204"/>
      <c r="R10" s="1204"/>
    </row>
    <row r="11" spans="1:18" s="488" customFormat="1" ht="20.100000000000001" customHeight="1" thickBot="1" x14ac:dyDescent="0.3">
      <c r="A11" s="1298" t="s">
        <v>1491</v>
      </c>
      <c r="B11" s="1299"/>
      <c r="C11" s="1299"/>
      <c r="D11" s="1299"/>
      <c r="E11" s="1299"/>
      <c r="F11" s="1299"/>
      <c r="G11" s="1299"/>
      <c r="H11" s="1299"/>
      <c r="I11" s="1299"/>
      <c r="J11" s="1299"/>
      <c r="K11" s="1299"/>
      <c r="L11" s="1299"/>
      <c r="M11" s="1299"/>
      <c r="N11" s="1299"/>
      <c r="O11" s="1299"/>
      <c r="P11" s="1299"/>
      <c r="Q11" s="1299"/>
      <c r="R11" s="1299"/>
    </row>
    <row r="12" spans="1:18" ht="50.1" customHeight="1" x14ac:dyDescent="0.25">
      <c r="A12" s="1204" t="s">
        <v>1843</v>
      </c>
      <c r="B12" s="1204"/>
      <c r="C12" s="1204"/>
      <c r="D12" s="1204"/>
      <c r="E12" s="1204"/>
      <c r="F12" s="1204"/>
      <c r="G12" s="1204"/>
      <c r="H12" s="1204"/>
      <c r="I12" s="1204"/>
      <c r="J12" s="1204"/>
      <c r="K12" s="1204"/>
      <c r="L12" s="1204"/>
      <c r="M12" s="1204"/>
      <c r="N12" s="1204"/>
      <c r="O12" s="1204"/>
      <c r="P12" s="1204"/>
      <c r="Q12" s="1204"/>
      <c r="R12" s="1204"/>
    </row>
    <row r="13" spans="1:18" s="484" customFormat="1" ht="39.950000000000003" customHeight="1" x14ac:dyDescent="0.25">
      <c r="A13" s="167">
        <v>1</v>
      </c>
      <c r="B13" s="1290" t="s">
        <v>1484</v>
      </c>
      <c r="C13" s="1290"/>
      <c r="D13" s="1290"/>
      <c r="E13" s="1290"/>
      <c r="F13" s="1290"/>
      <c r="G13" s="1290"/>
      <c r="H13" s="1290"/>
      <c r="I13" s="1290"/>
      <c r="J13" s="1290"/>
      <c r="K13" s="1290"/>
      <c r="L13" s="1290"/>
      <c r="M13" s="1290"/>
      <c r="N13" s="1290"/>
      <c r="O13" s="1290"/>
      <c r="P13" s="1290"/>
      <c r="Q13" s="1290"/>
      <c r="R13" s="1290"/>
    </row>
    <row r="14" spans="1:18" s="484" customFormat="1" ht="20.100000000000001" customHeight="1" x14ac:dyDescent="0.25">
      <c r="A14" s="167">
        <v>2</v>
      </c>
      <c r="B14" s="1290" t="s">
        <v>1446</v>
      </c>
      <c r="C14" s="1290"/>
      <c r="D14" s="1290"/>
      <c r="E14" s="1290"/>
      <c r="F14" s="1290"/>
      <c r="G14" s="1290"/>
      <c r="H14" s="1290"/>
      <c r="I14" s="1290"/>
      <c r="J14" s="1290"/>
      <c r="K14" s="1290"/>
      <c r="L14" s="1290"/>
      <c r="M14" s="1290"/>
      <c r="N14" s="1290"/>
      <c r="O14" s="1290"/>
      <c r="P14" s="1290"/>
      <c r="Q14" s="1290"/>
      <c r="R14" s="1290"/>
    </row>
    <row r="15" spans="1:18" s="484" customFormat="1" ht="39.950000000000003" customHeight="1" x14ac:dyDescent="0.25">
      <c r="A15" s="167">
        <v>3</v>
      </c>
      <c r="B15" s="1290" t="s">
        <v>1447</v>
      </c>
      <c r="C15" s="1290"/>
      <c r="D15" s="1290"/>
      <c r="E15" s="1290"/>
      <c r="F15" s="1290"/>
      <c r="G15" s="1290"/>
      <c r="H15" s="1290"/>
      <c r="I15" s="1290"/>
      <c r="J15" s="1290"/>
      <c r="K15" s="1290"/>
      <c r="L15" s="1290"/>
      <c r="M15" s="1290"/>
      <c r="N15" s="1290"/>
      <c r="O15" s="1290"/>
      <c r="P15" s="1290"/>
      <c r="Q15" s="1290"/>
      <c r="R15" s="1290"/>
    </row>
    <row r="16" spans="1:18" s="484" customFormat="1" ht="20.100000000000001" customHeight="1" x14ac:dyDescent="0.25">
      <c r="A16" s="167">
        <v>4</v>
      </c>
      <c r="B16" s="1290" t="s">
        <v>1448</v>
      </c>
      <c r="C16" s="1290"/>
      <c r="D16" s="1290"/>
      <c r="E16" s="1290"/>
      <c r="F16" s="1290"/>
      <c r="G16" s="1290"/>
      <c r="H16" s="1290"/>
      <c r="I16" s="1290"/>
      <c r="J16" s="1290"/>
      <c r="K16" s="1290"/>
      <c r="L16" s="1290"/>
      <c r="M16" s="1290"/>
      <c r="N16" s="1290"/>
      <c r="O16" s="1290"/>
      <c r="P16" s="1290"/>
      <c r="Q16" s="1290"/>
      <c r="R16" s="1290"/>
    </row>
    <row r="17" spans="1:18" s="484" customFormat="1" ht="20.100000000000001" customHeight="1" x14ac:dyDescent="0.25">
      <c r="A17" s="167">
        <v>5</v>
      </c>
      <c r="B17" s="1290" t="s">
        <v>1449</v>
      </c>
      <c r="C17" s="1290"/>
      <c r="D17" s="1290"/>
      <c r="E17" s="1290"/>
      <c r="F17" s="1290"/>
      <c r="G17" s="1290"/>
      <c r="H17" s="1290"/>
      <c r="I17" s="1290"/>
      <c r="J17" s="1290"/>
      <c r="K17" s="1290"/>
      <c r="L17" s="1290"/>
      <c r="M17" s="1290"/>
      <c r="N17" s="1290"/>
      <c r="O17" s="1290"/>
      <c r="P17" s="1290"/>
      <c r="Q17" s="1290"/>
      <c r="R17" s="1290"/>
    </row>
    <row r="18" spans="1:18" s="484" customFormat="1" ht="20.100000000000001" customHeight="1" x14ac:dyDescent="0.25">
      <c r="A18" s="167">
        <v>6</v>
      </c>
      <c r="B18" s="1290" t="s">
        <v>1450</v>
      </c>
      <c r="C18" s="1290"/>
      <c r="D18" s="1290"/>
      <c r="E18" s="1290"/>
      <c r="F18" s="1290"/>
      <c r="G18" s="1290"/>
      <c r="H18" s="1290"/>
      <c r="I18" s="1290"/>
      <c r="J18" s="1290"/>
      <c r="K18" s="1290"/>
      <c r="L18" s="1290"/>
      <c r="M18" s="1290"/>
      <c r="N18" s="1290"/>
      <c r="O18" s="1290"/>
      <c r="P18" s="1290"/>
      <c r="Q18" s="1290"/>
      <c r="R18" s="1290"/>
    </row>
    <row r="19" spans="1:18" s="484" customFormat="1" ht="20.100000000000001" customHeight="1" x14ac:dyDescent="0.25">
      <c r="A19" s="167">
        <v>7</v>
      </c>
      <c r="B19" s="1290" t="s">
        <v>1451</v>
      </c>
      <c r="C19" s="1290"/>
      <c r="D19" s="1290"/>
      <c r="E19" s="1290"/>
      <c r="F19" s="1290"/>
      <c r="G19" s="1290"/>
      <c r="H19" s="1290"/>
      <c r="I19" s="1290"/>
      <c r="J19" s="1290"/>
      <c r="K19" s="1290"/>
      <c r="L19" s="1290"/>
      <c r="M19" s="1290"/>
      <c r="N19" s="1290"/>
      <c r="O19" s="1290"/>
      <c r="P19" s="1290"/>
      <c r="Q19" s="1290"/>
      <c r="R19" s="1290"/>
    </row>
    <row r="20" spans="1:18" s="484" customFormat="1" ht="20.100000000000001" customHeight="1" x14ac:dyDescent="0.25">
      <c r="A20" s="167">
        <v>8</v>
      </c>
      <c r="B20" s="1290" t="s">
        <v>1452</v>
      </c>
      <c r="C20" s="1290"/>
      <c r="D20" s="1290"/>
      <c r="E20" s="1290"/>
      <c r="F20" s="1290"/>
      <c r="G20" s="1290"/>
      <c r="H20" s="1290"/>
      <c r="I20" s="1290"/>
      <c r="J20" s="1290"/>
      <c r="K20" s="1290"/>
      <c r="L20" s="1290"/>
      <c r="M20" s="1290"/>
      <c r="N20" s="1290"/>
      <c r="O20" s="1290"/>
      <c r="P20" s="1290"/>
      <c r="Q20" s="1290"/>
      <c r="R20" s="1290"/>
    </row>
    <row r="21" spans="1:18" s="484" customFormat="1" ht="20.100000000000001" customHeight="1" x14ac:dyDescent="0.25">
      <c r="A21" s="167">
        <v>9</v>
      </c>
      <c r="B21" s="1290" t="s">
        <v>1453</v>
      </c>
      <c r="C21" s="1290"/>
      <c r="D21" s="1290"/>
      <c r="E21" s="1290"/>
      <c r="F21" s="1290"/>
      <c r="G21" s="1290"/>
      <c r="H21" s="1290"/>
      <c r="I21" s="1290"/>
      <c r="J21" s="1290"/>
      <c r="K21" s="1290"/>
      <c r="L21" s="1290"/>
      <c r="M21" s="1290"/>
      <c r="N21" s="1290"/>
      <c r="O21" s="1290"/>
      <c r="P21" s="1290"/>
      <c r="Q21" s="1290"/>
      <c r="R21" s="1290"/>
    </row>
    <row r="22" spans="1:18" s="484" customFormat="1" ht="20.100000000000001" customHeight="1" x14ac:dyDescent="0.25">
      <c r="A22" s="167">
        <v>10</v>
      </c>
      <c r="B22" s="1290" t="s">
        <v>1458</v>
      </c>
      <c r="C22" s="1290"/>
      <c r="D22" s="1290"/>
      <c r="E22" s="1290"/>
      <c r="F22" s="1290"/>
      <c r="G22" s="1290"/>
      <c r="H22" s="1290"/>
      <c r="I22" s="1290"/>
      <c r="J22" s="1290"/>
      <c r="K22" s="1290"/>
      <c r="L22" s="1290"/>
      <c r="M22" s="1290"/>
      <c r="N22" s="1290"/>
      <c r="O22" s="1290"/>
      <c r="P22" s="1290"/>
      <c r="Q22" s="1290"/>
      <c r="R22" s="1290"/>
    </row>
    <row r="23" spans="1:18" s="484" customFormat="1" ht="39.950000000000003" customHeight="1" x14ac:dyDescent="0.25">
      <c r="A23" s="167">
        <v>11</v>
      </c>
      <c r="B23" s="1290" t="s">
        <v>1459</v>
      </c>
      <c r="C23" s="1290"/>
      <c r="D23" s="1290"/>
      <c r="E23" s="1290"/>
      <c r="F23" s="1290"/>
      <c r="G23" s="1290"/>
      <c r="H23" s="1290"/>
      <c r="I23" s="1290"/>
      <c r="J23" s="1290"/>
      <c r="K23" s="1290"/>
      <c r="L23" s="1290"/>
      <c r="M23" s="1290"/>
      <c r="N23" s="1290"/>
      <c r="O23" s="1290"/>
      <c r="P23" s="1290"/>
      <c r="Q23" s="1290"/>
      <c r="R23" s="1290"/>
    </row>
    <row r="24" spans="1:18" s="484" customFormat="1" ht="20.100000000000001" customHeight="1" x14ac:dyDescent="0.25">
      <c r="A24" s="167">
        <v>12</v>
      </c>
      <c r="B24" s="1290" t="s">
        <v>1460</v>
      </c>
      <c r="C24" s="1290"/>
      <c r="D24" s="1290"/>
      <c r="E24" s="1290"/>
      <c r="F24" s="1290"/>
      <c r="G24" s="1290"/>
      <c r="H24" s="1290"/>
      <c r="I24" s="1290"/>
      <c r="J24" s="1290"/>
      <c r="K24" s="1290"/>
      <c r="L24" s="1290"/>
      <c r="M24" s="1290"/>
      <c r="N24" s="1290"/>
      <c r="O24" s="1290"/>
      <c r="P24" s="1290"/>
      <c r="Q24" s="1290"/>
      <c r="R24" s="1290"/>
    </row>
    <row r="25" spans="1:18" s="484" customFormat="1" ht="20.100000000000001" customHeight="1" x14ac:dyDescent="0.25">
      <c r="A25" s="167">
        <v>13</v>
      </c>
      <c r="B25" s="1290" t="s">
        <v>1461</v>
      </c>
      <c r="C25" s="1290"/>
      <c r="D25" s="1290"/>
      <c r="E25" s="1290"/>
      <c r="F25" s="1290"/>
      <c r="G25" s="1290"/>
      <c r="H25" s="1290"/>
      <c r="I25" s="1290"/>
      <c r="J25" s="1290"/>
      <c r="K25" s="1290"/>
      <c r="L25" s="1290"/>
      <c r="M25" s="1290"/>
      <c r="N25" s="1290"/>
      <c r="O25" s="1290"/>
      <c r="P25" s="1290"/>
      <c r="Q25" s="1290"/>
      <c r="R25" s="1290"/>
    </row>
    <row r="26" spans="1:18" s="484" customFormat="1" ht="20.100000000000001" customHeight="1" x14ac:dyDescent="0.25">
      <c r="A26" s="167">
        <v>14</v>
      </c>
      <c r="B26" s="1290" t="s">
        <v>1462</v>
      </c>
      <c r="C26" s="1290"/>
      <c r="D26" s="1290"/>
      <c r="E26" s="1290"/>
      <c r="F26" s="1290"/>
      <c r="G26" s="1290"/>
      <c r="H26" s="1290"/>
      <c r="I26" s="1290"/>
      <c r="J26" s="1290"/>
      <c r="K26" s="1290"/>
      <c r="L26" s="1290"/>
      <c r="M26" s="1290"/>
      <c r="N26" s="1290"/>
      <c r="O26" s="1290"/>
      <c r="P26" s="1290"/>
      <c r="Q26" s="1290"/>
      <c r="R26" s="1290"/>
    </row>
    <row r="27" spans="1:18" s="484" customFormat="1" ht="39.950000000000003" customHeight="1" x14ac:dyDescent="0.25">
      <c r="A27" s="167">
        <v>15</v>
      </c>
      <c r="B27" s="1290" t="s">
        <v>1464</v>
      </c>
      <c r="C27" s="1290"/>
      <c r="D27" s="1290"/>
      <c r="E27" s="1290"/>
      <c r="F27" s="1290"/>
      <c r="G27" s="1290"/>
      <c r="H27" s="1290"/>
      <c r="I27" s="1290"/>
      <c r="J27" s="1290"/>
      <c r="K27" s="1290"/>
      <c r="L27" s="1290"/>
      <c r="M27" s="1290"/>
      <c r="N27" s="1290"/>
      <c r="O27" s="1290"/>
      <c r="P27" s="1290"/>
      <c r="Q27" s="1290"/>
      <c r="R27" s="1290"/>
    </row>
    <row r="28" spans="1:18" s="484" customFormat="1" ht="20.100000000000001" customHeight="1" x14ac:dyDescent="0.25">
      <c r="A28" s="167">
        <v>16</v>
      </c>
      <c r="B28" s="1290" t="s">
        <v>1465</v>
      </c>
      <c r="C28" s="1290"/>
      <c r="D28" s="1290"/>
      <c r="E28" s="1290"/>
      <c r="F28" s="1290"/>
      <c r="G28" s="1290"/>
      <c r="H28" s="1290"/>
      <c r="I28" s="1290"/>
      <c r="J28" s="1290"/>
      <c r="K28" s="1290"/>
      <c r="L28" s="1290"/>
      <c r="M28" s="1290"/>
      <c r="N28" s="1290"/>
      <c r="O28" s="1290"/>
      <c r="P28" s="1290"/>
      <c r="Q28" s="1290"/>
      <c r="R28" s="1290"/>
    </row>
    <row r="29" spans="1:18" s="484" customFormat="1" ht="20.100000000000001" customHeight="1" x14ac:dyDescent="0.25">
      <c r="A29" s="167">
        <v>17</v>
      </c>
      <c r="B29" s="1290" t="s">
        <v>1467</v>
      </c>
      <c r="C29" s="1290"/>
      <c r="D29" s="1290"/>
      <c r="E29" s="1290"/>
      <c r="F29" s="1290"/>
      <c r="G29" s="1290"/>
      <c r="H29" s="1290"/>
      <c r="I29" s="1290"/>
      <c r="J29" s="1290"/>
      <c r="K29" s="1290"/>
      <c r="L29" s="1290"/>
      <c r="M29" s="1290"/>
      <c r="N29" s="1290"/>
      <c r="O29" s="1290"/>
      <c r="P29" s="1290"/>
      <c r="Q29" s="1290"/>
      <c r="R29" s="1290"/>
    </row>
    <row r="30" spans="1:18" s="484" customFormat="1" ht="20.100000000000001" customHeight="1" x14ac:dyDescent="0.25">
      <c r="A30" s="167">
        <v>18</v>
      </c>
      <c r="B30" s="1290" t="s">
        <v>1468</v>
      </c>
      <c r="C30" s="1290"/>
      <c r="D30" s="1290"/>
      <c r="E30" s="1290"/>
      <c r="F30" s="1290"/>
      <c r="G30" s="1290"/>
      <c r="H30" s="1290"/>
      <c r="I30" s="1290"/>
      <c r="J30" s="1290"/>
      <c r="K30" s="1290"/>
      <c r="L30" s="1290"/>
      <c r="M30" s="1290"/>
      <c r="N30" s="1290"/>
      <c r="O30" s="1290"/>
      <c r="P30" s="1290"/>
      <c r="Q30" s="1290"/>
      <c r="R30" s="1290"/>
    </row>
    <row r="31" spans="1:18" s="484" customFormat="1" ht="20.100000000000001" customHeight="1" x14ac:dyDescent="0.25">
      <c r="A31" s="167">
        <v>19</v>
      </c>
      <c r="B31" s="1290" t="s">
        <v>1469</v>
      </c>
      <c r="C31" s="1290"/>
      <c r="D31" s="1290"/>
      <c r="E31" s="1290"/>
      <c r="F31" s="1290"/>
      <c r="G31" s="1290"/>
      <c r="H31" s="1290"/>
      <c r="I31" s="1290"/>
      <c r="J31" s="1290"/>
      <c r="K31" s="1290"/>
      <c r="L31" s="1290"/>
      <c r="M31" s="1290"/>
      <c r="N31" s="1290"/>
      <c r="O31" s="1290"/>
      <c r="P31" s="1290"/>
      <c r="Q31" s="1290"/>
      <c r="R31" s="1290"/>
    </row>
    <row r="32" spans="1:18" s="484" customFormat="1" ht="20.100000000000001" customHeight="1" x14ac:dyDescent="0.25">
      <c r="A32" s="167">
        <v>20</v>
      </c>
      <c r="B32" s="1290" t="s">
        <v>1470</v>
      </c>
      <c r="C32" s="1290"/>
      <c r="D32" s="1290"/>
      <c r="E32" s="1290"/>
      <c r="F32" s="1290"/>
      <c r="G32" s="1290"/>
      <c r="H32" s="1290"/>
      <c r="I32" s="1290"/>
      <c r="J32" s="1290"/>
      <c r="K32" s="1290"/>
      <c r="L32" s="1290"/>
      <c r="M32" s="1290"/>
      <c r="N32" s="1290"/>
      <c r="O32" s="1290"/>
      <c r="P32" s="1290"/>
      <c r="Q32" s="1290"/>
      <c r="R32" s="1290"/>
    </row>
    <row r="33" spans="1:18" s="484" customFormat="1" ht="20.100000000000001" customHeight="1" x14ac:dyDescent="0.25">
      <c r="A33" s="167">
        <v>21</v>
      </c>
      <c r="B33" s="1290" t="s">
        <v>1471</v>
      </c>
      <c r="C33" s="1290"/>
      <c r="D33" s="1290"/>
      <c r="E33" s="1290"/>
      <c r="F33" s="1290"/>
      <c r="G33" s="1290"/>
      <c r="H33" s="1290"/>
      <c r="I33" s="1290"/>
      <c r="J33" s="1290"/>
      <c r="K33" s="1290"/>
      <c r="L33" s="1290"/>
      <c r="M33" s="1290"/>
      <c r="N33" s="1290"/>
      <c r="O33" s="1290"/>
      <c r="P33" s="1290"/>
      <c r="Q33" s="1290"/>
      <c r="R33" s="1290"/>
    </row>
    <row r="34" spans="1:18" s="484" customFormat="1" ht="20.100000000000001" customHeight="1" x14ac:dyDescent="0.25">
      <c r="A34" s="167">
        <v>22</v>
      </c>
      <c r="B34" s="1290" t="s">
        <v>1472</v>
      </c>
      <c r="C34" s="1290"/>
      <c r="D34" s="1290"/>
      <c r="E34" s="1290"/>
      <c r="F34" s="1290"/>
      <c r="G34" s="1290"/>
      <c r="H34" s="1290"/>
      <c r="I34" s="1290"/>
      <c r="J34" s="1290"/>
      <c r="K34" s="1290"/>
      <c r="L34" s="1290"/>
      <c r="M34" s="1290"/>
      <c r="N34" s="1290"/>
      <c r="O34" s="1290"/>
      <c r="P34" s="1290"/>
      <c r="Q34" s="1290"/>
      <c r="R34" s="1290"/>
    </row>
    <row r="35" spans="1:18" s="484" customFormat="1" ht="39.950000000000003" customHeight="1" x14ac:dyDescent="0.25">
      <c r="A35" s="167">
        <v>23</v>
      </c>
      <c r="B35" s="1290" t="s">
        <v>1473</v>
      </c>
      <c r="C35" s="1290"/>
      <c r="D35" s="1290"/>
      <c r="E35" s="1290"/>
      <c r="F35" s="1290"/>
      <c r="G35" s="1290"/>
      <c r="H35" s="1290"/>
      <c r="I35" s="1290"/>
      <c r="J35" s="1290"/>
      <c r="K35" s="1290"/>
      <c r="L35" s="1290"/>
      <c r="M35" s="1290"/>
      <c r="N35" s="1290"/>
      <c r="O35" s="1290"/>
      <c r="P35" s="1290"/>
      <c r="Q35" s="1290"/>
      <c r="R35" s="1290"/>
    </row>
    <row r="36" spans="1:18" s="484" customFormat="1" ht="20.100000000000001" customHeight="1" x14ac:dyDescent="0.25">
      <c r="A36" s="167">
        <v>24</v>
      </c>
      <c r="B36" s="1290" t="s">
        <v>1474</v>
      </c>
      <c r="C36" s="1290"/>
      <c r="D36" s="1290"/>
      <c r="E36" s="1290"/>
      <c r="F36" s="1290"/>
      <c r="G36" s="1290"/>
      <c r="H36" s="1290"/>
      <c r="I36" s="1290"/>
      <c r="J36" s="1290"/>
      <c r="K36" s="1290"/>
      <c r="L36" s="1290"/>
      <c r="M36" s="1290"/>
      <c r="N36" s="1290"/>
      <c r="O36" s="1290"/>
      <c r="P36" s="1290"/>
      <c r="Q36" s="1290"/>
      <c r="R36" s="1290"/>
    </row>
    <row r="37" spans="1:18" s="484" customFormat="1" ht="20.100000000000001" customHeight="1" x14ac:dyDescent="0.25">
      <c r="A37" s="167">
        <v>25</v>
      </c>
      <c r="B37" s="1290" t="s">
        <v>1475</v>
      </c>
      <c r="C37" s="1290"/>
      <c r="D37" s="1290"/>
      <c r="E37" s="1290"/>
      <c r="F37" s="1290"/>
      <c r="G37" s="1290"/>
      <c r="H37" s="1290"/>
      <c r="I37" s="1290"/>
      <c r="J37" s="1290"/>
      <c r="K37" s="1290"/>
      <c r="L37" s="1290"/>
      <c r="M37" s="1290"/>
      <c r="N37" s="1290"/>
      <c r="O37" s="1290"/>
      <c r="P37" s="1290"/>
      <c r="Q37" s="1290"/>
      <c r="R37" s="1290"/>
    </row>
    <row r="38" spans="1:18" s="484" customFormat="1" ht="20.100000000000001" customHeight="1" x14ac:dyDescent="0.25">
      <c r="A38" s="167">
        <v>26</v>
      </c>
      <c r="B38" s="1290" t="s">
        <v>1476</v>
      </c>
      <c r="C38" s="1290"/>
      <c r="D38" s="1290"/>
      <c r="E38" s="1290"/>
      <c r="F38" s="1290"/>
      <c r="G38" s="1290"/>
      <c r="H38" s="1290"/>
      <c r="I38" s="1290"/>
      <c r="J38" s="1290"/>
      <c r="K38" s="1290"/>
      <c r="L38" s="1290"/>
      <c r="M38" s="1290"/>
      <c r="N38" s="1290"/>
      <c r="O38" s="1290"/>
      <c r="P38" s="1290"/>
      <c r="Q38" s="1290"/>
      <c r="R38" s="1290"/>
    </row>
    <row r="39" spans="1:18" s="484" customFormat="1" ht="20.100000000000001" customHeight="1" x14ac:dyDescent="0.25">
      <c r="A39" s="167">
        <v>27</v>
      </c>
      <c r="B39" s="1290" t="s">
        <v>1477</v>
      </c>
      <c r="C39" s="1290"/>
      <c r="D39" s="1290"/>
      <c r="E39" s="1290"/>
      <c r="F39" s="1290"/>
      <c r="G39" s="1290"/>
      <c r="H39" s="1290"/>
      <c r="I39" s="1290"/>
      <c r="J39" s="1290"/>
      <c r="K39" s="1290"/>
      <c r="L39" s="1290"/>
      <c r="M39" s="1290"/>
      <c r="N39" s="1290"/>
      <c r="O39" s="1290"/>
      <c r="P39" s="1290"/>
      <c r="Q39" s="1290"/>
      <c r="R39" s="1290"/>
    </row>
    <row r="40" spans="1:18" s="484" customFormat="1" ht="20.100000000000001" customHeight="1" x14ac:dyDescent="0.25">
      <c r="A40" s="167">
        <v>28</v>
      </c>
      <c r="B40" s="1290" t="s">
        <v>1835</v>
      </c>
      <c r="C40" s="1290"/>
      <c r="D40" s="1290"/>
      <c r="E40" s="1290"/>
      <c r="F40" s="1290"/>
      <c r="G40" s="1290"/>
      <c r="H40" s="1290"/>
      <c r="I40" s="1290"/>
      <c r="J40" s="1290"/>
      <c r="K40" s="1290"/>
      <c r="L40" s="1290"/>
      <c r="M40" s="1290"/>
      <c r="N40" s="1290"/>
      <c r="O40" s="1290"/>
      <c r="P40" s="1290"/>
      <c r="Q40" s="1290"/>
      <c r="R40" s="1290"/>
    </row>
    <row r="41" spans="1:18" s="484" customFormat="1" ht="20.100000000000001" customHeight="1" x14ac:dyDescent="0.25">
      <c r="A41" s="167">
        <v>29</v>
      </c>
      <c r="B41" s="1290" t="s">
        <v>1478</v>
      </c>
      <c r="C41" s="1290"/>
      <c r="D41" s="1290"/>
      <c r="E41" s="1290"/>
      <c r="F41" s="1290"/>
      <c r="G41" s="1290"/>
      <c r="H41" s="1290"/>
      <c r="I41" s="1290"/>
      <c r="J41" s="1290"/>
      <c r="K41" s="1290"/>
      <c r="L41" s="1290"/>
      <c r="M41" s="1290"/>
      <c r="N41" s="1290"/>
      <c r="O41" s="1290"/>
      <c r="P41" s="1290"/>
      <c r="Q41" s="1290"/>
      <c r="R41" s="1290"/>
    </row>
    <row r="42" spans="1:18" s="484" customFormat="1" ht="20.100000000000001" customHeight="1" x14ac:dyDescent="0.25">
      <c r="A42" s="167">
        <v>30</v>
      </c>
      <c r="B42" s="1290" t="s">
        <v>1479</v>
      </c>
      <c r="C42" s="1290"/>
      <c r="D42" s="1290"/>
      <c r="E42" s="1290"/>
      <c r="F42" s="1290"/>
      <c r="G42" s="1290"/>
      <c r="H42" s="1290"/>
      <c r="I42" s="1290"/>
      <c r="J42" s="1290"/>
      <c r="K42" s="1290"/>
      <c r="L42" s="1290"/>
      <c r="M42" s="1290"/>
      <c r="N42" s="1290"/>
      <c r="O42" s="1290"/>
      <c r="P42" s="1290"/>
      <c r="Q42" s="1290"/>
      <c r="R42" s="1290"/>
    </row>
    <row r="43" spans="1:18" s="484" customFormat="1" ht="20.100000000000001" customHeight="1" x14ac:dyDescent="0.25">
      <c r="A43" s="167">
        <v>31</v>
      </c>
      <c r="B43" s="1290" t="s">
        <v>1480</v>
      </c>
      <c r="C43" s="1290"/>
      <c r="D43" s="1290"/>
      <c r="E43" s="1290"/>
      <c r="F43" s="1290"/>
      <c r="G43" s="1290"/>
      <c r="H43" s="1290"/>
      <c r="I43" s="1290"/>
      <c r="J43" s="1290"/>
      <c r="K43" s="1290"/>
      <c r="L43" s="1290"/>
      <c r="M43" s="1290"/>
      <c r="N43" s="1290"/>
      <c r="O43" s="1290"/>
      <c r="P43" s="1290"/>
      <c r="Q43" s="1290"/>
      <c r="R43" s="1290"/>
    </row>
    <row r="44" spans="1:18" s="484" customFormat="1" ht="20.100000000000001" customHeight="1" x14ac:dyDescent="0.25">
      <c r="A44" s="167">
        <v>32</v>
      </c>
      <c r="B44" s="1290" t="s">
        <v>1481</v>
      </c>
      <c r="C44" s="1290"/>
      <c r="D44" s="1290"/>
      <c r="E44" s="1290"/>
      <c r="F44" s="1290"/>
      <c r="G44" s="1290"/>
      <c r="H44" s="1290"/>
      <c r="I44" s="1290"/>
      <c r="J44" s="1290"/>
      <c r="K44" s="1290"/>
      <c r="L44" s="1290"/>
      <c r="M44" s="1290"/>
      <c r="N44" s="1290"/>
      <c r="O44" s="1290"/>
      <c r="P44" s="1290"/>
      <c r="Q44" s="1290"/>
      <c r="R44" s="1290"/>
    </row>
    <row r="45" spans="1:18" s="484" customFormat="1" ht="20.100000000000001" customHeight="1" x14ac:dyDescent="0.25">
      <c r="A45" s="167">
        <v>33</v>
      </c>
      <c r="B45" s="1290" t="s">
        <v>1482</v>
      </c>
      <c r="C45" s="1290"/>
      <c r="D45" s="1290"/>
      <c r="E45" s="1290"/>
      <c r="F45" s="1290"/>
      <c r="G45" s="1290"/>
      <c r="H45" s="1290"/>
      <c r="I45" s="1290"/>
      <c r="J45" s="1290"/>
      <c r="K45" s="1290"/>
      <c r="L45" s="1290"/>
      <c r="M45" s="1290"/>
      <c r="N45" s="1290"/>
      <c r="O45" s="1290"/>
      <c r="P45" s="1290"/>
      <c r="Q45" s="1290"/>
      <c r="R45" s="1290"/>
    </row>
    <row r="46" spans="1:18" s="484" customFormat="1" ht="20.100000000000001" customHeight="1" x14ac:dyDescent="0.25">
      <c r="A46" s="167">
        <v>34</v>
      </c>
      <c r="B46" s="1290" t="s">
        <v>1483</v>
      </c>
      <c r="C46" s="1290"/>
      <c r="D46" s="1290"/>
      <c r="E46" s="1290"/>
      <c r="F46" s="1290"/>
      <c r="G46" s="1290"/>
      <c r="H46" s="1290"/>
      <c r="I46" s="1290"/>
      <c r="J46" s="1290"/>
      <c r="K46" s="1290"/>
      <c r="L46" s="1290"/>
      <c r="M46" s="1290"/>
      <c r="N46" s="1290"/>
      <c r="O46" s="1290"/>
      <c r="P46" s="1290"/>
      <c r="Q46" s="1290"/>
      <c r="R46" s="1290"/>
    </row>
    <row r="47" spans="1:18" s="484" customFormat="1" ht="20.100000000000001" customHeight="1" x14ac:dyDescent="0.25">
      <c r="A47" s="167">
        <v>35</v>
      </c>
      <c r="B47" s="1290" t="s">
        <v>1485</v>
      </c>
      <c r="C47" s="1290"/>
      <c r="D47" s="1290"/>
      <c r="E47" s="1290"/>
      <c r="F47" s="1290"/>
      <c r="G47" s="1290"/>
      <c r="H47" s="1290"/>
      <c r="I47" s="1290"/>
      <c r="J47" s="1290"/>
      <c r="K47" s="1290"/>
      <c r="L47" s="1290"/>
      <c r="M47" s="1290"/>
      <c r="N47" s="1290"/>
      <c r="O47" s="1290"/>
      <c r="P47" s="1290"/>
      <c r="Q47" s="1290"/>
      <c r="R47" s="1290"/>
    </row>
    <row r="48" spans="1:18" s="486" customFormat="1" ht="20.100000000000001" customHeight="1" thickBot="1" x14ac:dyDescent="0.3">
      <c r="A48" s="485">
        <v>36</v>
      </c>
      <c r="B48" s="1308" t="s">
        <v>1842</v>
      </c>
      <c r="C48" s="1308"/>
      <c r="D48" s="1308"/>
      <c r="E48" s="1308"/>
      <c r="F48" s="1308"/>
      <c r="G48" s="1308"/>
      <c r="H48" s="1308"/>
      <c r="I48" s="1308"/>
      <c r="J48" s="1308"/>
      <c r="K48" s="1308"/>
      <c r="L48" s="1308"/>
      <c r="M48" s="1308"/>
      <c r="N48" s="1308"/>
      <c r="O48" s="1308"/>
      <c r="P48" s="1308"/>
      <c r="Q48" s="1308"/>
      <c r="R48" s="1308"/>
    </row>
    <row r="49" spans="1:18" s="488" customFormat="1" ht="20.100000000000001" customHeight="1" thickBot="1" x14ac:dyDescent="0.3">
      <c r="A49" s="1298" t="s">
        <v>1834</v>
      </c>
      <c r="B49" s="1299"/>
      <c r="C49" s="1299"/>
      <c r="D49" s="1299"/>
      <c r="E49" s="1299"/>
      <c r="F49" s="1299"/>
      <c r="G49" s="1299"/>
      <c r="H49" s="1299"/>
      <c r="I49" s="1299"/>
      <c r="J49" s="1299"/>
      <c r="K49" s="1299"/>
      <c r="L49" s="1299"/>
      <c r="M49" s="1299"/>
      <c r="N49" s="1299"/>
      <c r="O49" s="1299"/>
      <c r="P49" s="1299"/>
      <c r="Q49" s="1299"/>
      <c r="R49" s="1299"/>
    </row>
    <row r="50" spans="1:18" ht="69.95" customHeight="1" x14ac:dyDescent="0.25">
      <c r="A50" s="1204" t="s">
        <v>1844</v>
      </c>
      <c r="B50" s="1204"/>
      <c r="C50" s="1204"/>
      <c r="D50" s="1204"/>
      <c r="E50" s="1204"/>
      <c r="F50" s="1204"/>
      <c r="G50" s="1204"/>
      <c r="H50" s="1204"/>
      <c r="I50" s="1204"/>
      <c r="J50" s="1204"/>
      <c r="K50" s="1204"/>
      <c r="L50" s="1204"/>
      <c r="M50" s="1204"/>
      <c r="N50" s="1204"/>
      <c r="O50" s="1204"/>
      <c r="P50" s="1204"/>
      <c r="Q50" s="1204"/>
      <c r="R50" s="1204"/>
    </row>
    <row r="51" spans="1:18" s="484" customFormat="1" ht="20.100000000000001" customHeight="1" x14ac:dyDescent="0.25">
      <c r="A51" s="167">
        <v>1</v>
      </c>
      <c r="B51" s="1290" t="s">
        <v>1454</v>
      </c>
      <c r="C51" s="1290"/>
      <c r="D51" s="1290"/>
      <c r="E51" s="1290"/>
      <c r="F51" s="1290"/>
      <c r="G51" s="1290"/>
      <c r="H51" s="1290"/>
      <c r="I51" s="1290"/>
      <c r="J51" s="1290"/>
      <c r="K51" s="1290"/>
      <c r="L51" s="1290"/>
      <c r="M51" s="1290"/>
      <c r="N51" s="1290"/>
      <c r="O51" s="1290"/>
      <c r="P51" s="1290"/>
      <c r="Q51" s="1290"/>
      <c r="R51" s="1290"/>
    </row>
    <row r="52" spans="1:18" s="484" customFormat="1" ht="20.100000000000001" customHeight="1" x14ac:dyDescent="0.25">
      <c r="A52" s="167">
        <v>2</v>
      </c>
      <c r="B52" s="1290" t="s">
        <v>1455</v>
      </c>
      <c r="C52" s="1290"/>
      <c r="D52" s="1290"/>
      <c r="E52" s="1290"/>
      <c r="F52" s="1290"/>
      <c r="G52" s="1290"/>
      <c r="H52" s="1290"/>
      <c r="I52" s="1290"/>
      <c r="J52" s="1290"/>
      <c r="K52" s="1290"/>
      <c r="L52" s="1290"/>
      <c r="M52" s="1290"/>
      <c r="N52" s="1290"/>
      <c r="O52" s="1290"/>
      <c r="P52" s="1290"/>
      <c r="Q52" s="1290"/>
      <c r="R52" s="1290"/>
    </row>
    <row r="53" spans="1:18" s="484" customFormat="1" ht="20.100000000000001" customHeight="1" x14ac:dyDescent="0.25">
      <c r="A53" s="167">
        <v>3</v>
      </c>
      <c r="B53" s="1290" t="s">
        <v>1456</v>
      </c>
      <c r="C53" s="1290"/>
      <c r="D53" s="1290"/>
      <c r="E53" s="1290"/>
      <c r="F53" s="1290"/>
      <c r="G53" s="1290"/>
      <c r="H53" s="1290"/>
      <c r="I53" s="1290"/>
      <c r="J53" s="1290"/>
      <c r="K53" s="1290"/>
      <c r="L53" s="1290"/>
      <c r="M53" s="1290"/>
      <c r="N53" s="1290"/>
      <c r="O53" s="1290"/>
      <c r="P53" s="1290"/>
      <c r="Q53" s="1290"/>
      <c r="R53" s="1290"/>
    </row>
    <row r="54" spans="1:18" s="484" customFormat="1" ht="20.100000000000001" customHeight="1" x14ac:dyDescent="0.25">
      <c r="A54" s="167">
        <v>4</v>
      </c>
      <c r="B54" s="1290" t="s">
        <v>1457</v>
      </c>
      <c r="C54" s="1290"/>
      <c r="D54" s="1290"/>
      <c r="E54" s="1290"/>
      <c r="F54" s="1290"/>
      <c r="G54" s="1290"/>
      <c r="H54" s="1290"/>
      <c r="I54" s="1290"/>
      <c r="J54" s="1290"/>
      <c r="K54" s="1290"/>
      <c r="L54" s="1290"/>
      <c r="M54" s="1290"/>
      <c r="N54" s="1290"/>
      <c r="O54" s="1290"/>
      <c r="P54" s="1290"/>
      <c r="Q54" s="1290"/>
      <c r="R54" s="1290"/>
    </row>
    <row r="55" spans="1:18" s="484" customFormat="1" ht="20.100000000000001" customHeight="1" x14ac:dyDescent="0.25">
      <c r="A55" s="167">
        <v>5</v>
      </c>
      <c r="B55" s="1290" t="s">
        <v>1463</v>
      </c>
      <c r="C55" s="1290"/>
      <c r="D55" s="1290"/>
      <c r="E55" s="1290"/>
      <c r="F55" s="1290"/>
      <c r="G55" s="1290"/>
      <c r="H55" s="1290"/>
      <c r="I55" s="1290"/>
      <c r="J55" s="1290"/>
      <c r="K55" s="1290"/>
      <c r="L55" s="1290"/>
      <c r="M55" s="1290"/>
      <c r="N55" s="1290"/>
      <c r="O55" s="1290"/>
      <c r="P55" s="1290"/>
      <c r="Q55" s="1290"/>
      <c r="R55" s="1290"/>
    </row>
    <row r="56" spans="1:18" s="484" customFormat="1" ht="20.100000000000001" customHeight="1" x14ac:dyDescent="0.25">
      <c r="A56" s="167">
        <v>6</v>
      </c>
      <c r="B56" s="1290" t="s">
        <v>1466</v>
      </c>
      <c r="C56" s="1290"/>
      <c r="D56" s="1290"/>
      <c r="E56" s="1290"/>
      <c r="F56" s="1290"/>
      <c r="G56" s="1290"/>
      <c r="H56" s="1290"/>
      <c r="I56" s="1290"/>
      <c r="J56" s="1290"/>
      <c r="K56" s="1290"/>
      <c r="L56" s="1290"/>
      <c r="M56" s="1290"/>
      <c r="N56" s="1290"/>
      <c r="O56" s="1290"/>
      <c r="P56" s="1290"/>
      <c r="Q56" s="1290"/>
      <c r="R56" s="1290"/>
    </row>
    <row r="57" spans="1:18" s="484" customFormat="1" ht="90" customHeight="1" x14ac:dyDescent="0.25">
      <c r="A57" s="167">
        <v>5</v>
      </c>
      <c r="B57" s="1290" t="s">
        <v>1847</v>
      </c>
      <c r="C57" s="1290"/>
      <c r="D57" s="1290"/>
      <c r="E57" s="1290"/>
      <c r="F57" s="1290"/>
      <c r="G57" s="1290"/>
      <c r="H57" s="1290"/>
      <c r="I57" s="1290"/>
      <c r="J57" s="1290"/>
      <c r="K57" s="1290"/>
      <c r="L57" s="1290"/>
      <c r="M57" s="1290"/>
      <c r="N57" s="1290"/>
      <c r="O57" s="1290"/>
      <c r="P57" s="1290"/>
      <c r="Q57" s="1290"/>
      <c r="R57" s="1290"/>
    </row>
    <row r="58" spans="1:18" s="486" customFormat="1" ht="110.1" customHeight="1" thickBot="1" x14ac:dyDescent="0.3">
      <c r="A58" s="485">
        <v>6</v>
      </c>
      <c r="B58" s="1288" t="s">
        <v>1848</v>
      </c>
      <c r="C58" s="1288"/>
      <c r="D58" s="1288"/>
      <c r="E58" s="1288"/>
      <c r="F58" s="1288"/>
      <c r="G58" s="1288"/>
      <c r="H58" s="1288"/>
      <c r="I58" s="1288"/>
      <c r="J58" s="1288"/>
      <c r="K58" s="1288"/>
      <c r="L58" s="1288"/>
      <c r="M58" s="1288"/>
      <c r="N58" s="1288"/>
      <c r="O58" s="1288"/>
      <c r="P58" s="1288"/>
      <c r="Q58" s="1288"/>
      <c r="R58" s="1288"/>
    </row>
    <row r="59" spans="1:18" ht="20.100000000000001" customHeight="1" thickBot="1" x14ac:dyDescent="0.3">
      <c r="C59" s="1301" t="s">
        <v>1486</v>
      </c>
      <c r="D59" s="1302"/>
      <c r="E59" s="1303"/>
      <c r="F59" s="1301" t="s">
        <v>1487</v>
      </c>
      <c r="G59" s="1302"/>
      <c r="H59" s="1302"/>
      <c r="I59" s="1302"/>
      <c r="J59" s="1302"/>
      <c r="K59" s="1303"/>
    </row>
    <row r="60" spans="1:18" ht="20.100000000000001" customHeight="1" x14ac:dyDescent="0.25">
      <c r="C60" s="1291" t="s">
        <v>1409</v>
      </c>
      <c r="D60" s="1292"/>
      <c r="E60" s="1293"/>
      <c r="F60" s="1291" t="s">
        <v>1488</v>
      </c>
      <c r="G60" s="1292"/>
      <c r="H60" s="1292"/>
      <c r="I60" s="1292"/>
      <c r="J60" s="1292"/>
      <c r="K60" s="1293"/>
    </row>
    <row r="61" spans="1:18" ht="20.100000000000001" customHeight="1" thickBot="1" x14ac:dyDescent="0.3">
      <c r="C61" s="1294" t="s">
        <v>1489</v>
      </c>
      <c r="D61" s="1295"/>
      <c r="E61" s="1296"/>
      <c r="F61" s="1294" t="s">
        <v>1490</v>
      </c>
      <c r="G61" s="1295"/>
      <c r="H61" s="1295"/>
      <c r="I61" s="1295"/>
      <c r="J61" s="1295"/>
      <c r="K61" s="1296"/>
    </row>
    <row r="62" spans="1:18" ht="20.100000000000001" customHeight="1" thickBot="1" x14ac:dyDescent="0.3">
      <c r="C62" s="1297" t="s">
        <v>1492</v>
      </c>
      <c r="D62" s="1297"/>
      <c r="E62" s="1297"/>
      <c r="F62" s="1297"/>
      <c r="G62" s="1297"/>
      <c r="H62" s="1297"/>
      <c r="I62" s="1297"/>
      <c r="J62" s="1297"/>
      <c r="K62" s="1297"/>
    </row>
    <row r="63" spans="1:18" s="488" customFormat="1" ht="20.100000000000001" customHeight="1" thickBot="1" x14ac:dyDescent="0.3">
      <c r="A63" s="1298" t="s">
        <v>1836</v>
      </c>
      <c r="B63" s="1299"/>
      <c r="C63" s="1299"/>
      <c r="D63" s="1299"/>
      <c r="E63" s="1299"/>
      <c r="F63" s="1299"/>
      <c r="G63" s="1299"/>
      <c r="H63" s="1299"/>
      <c r="I63" s="1299"/>
      <c r="J63" s="1299"/>
      <c r="K63" s="1299"/>
      <c r="L63" s="1299"/>
      <c r="M63" s="1299"/>
      <c r="N63" s="1299"/>
      <c r="O63" s="1299"/>
      <c r="P63" s="1299"/>
      <c r="Q63" s="1299"/>
      <c r="R63" s="1299"/>
    </row>
    <row r="64" spans="1:18" ht="39.950000000000003" customHeight="1" x14ac:dyDescent="0.25">
      <c r="A64" s="1204" t="s">
        <v>1837</v>
      </c>
      <c r="B64" s="1204"/>
      <c r="C64" s="1204"/>
      <c r="D64" s="1204"/>
      <c r="E64" s="1204"/>
      <c r="F64" s="1204"/>
      <c r="G64" s="1204"/>
      <c r="H64" s="1204"/>
      <c r="I64" s="1204"/>
      <c r="J64" s="1204"/>
      <c r="K64" s="1204"/>
      <c r="L64" s="1204"/>
      <c r="M64" s="1204"/>
      <c r="N64" s="1204"/>
      <c r="O64" s="1204"/>
      <c r="P64" s="1204"/>
      <c r="Q64" s="1204"/>
      <c r="R64" s="1204"/>
    </row>
    <row r="65" spans="1:18" s="484" customFormat="1" ht="20.100000000000001" customHeight="1" x14ac:dyDescent="0.25">
      <c r="A65" s="167">
        <v>1</v>
      </c>
      <c r="B65" s="1290" t="s">
        <v>1841</v>
      </c>
      <c r="C65" s="1290"/>
      <c r="D65" s="1290"/>
      <c r="E65" s="1290"/>
      <c r="F65" s="1290"/>
      <c r="G65" s="1290"/>
      <c r="H65" s="1290"/>
      <c r="I65" s="1290"/>
      <c r="J65" s="1290"/>
      <c r="K65" s="1290"/>
      <c r="L65" s="1290"/>
      <c r="M65" s="1290"/>
      <c r="N65" s="1290"/>
      <c r="O65" s="1290"/>
      <c r="P65" s="1290"/>
      <c r="Q65" s="1290"/>
      <c r="R65" s="1290"/>
    </row>
    <row r="66" spans="1:18" s="484" customFormat="1" ht="39.950000000000003" customHeight="1" x14ac:dyDescent="0.25">
      <c r="A66" s="167">
        <v>2</v>
      </c>
      <c r="B66" s="1290" t="s">
        <v>1838</v>
      </c>
      <c r="C66" s="1290"/>
      <c r="D66" s="1290"/>
      <c r="E66" s="1290"/>
      <c r="F66" s="1290"/>
      <c r="G66" s="1290"/>
      <c r="H66" s="1290"/>
      <c r="I66" s="1290"/>
      <c r="J66" s="1290"/>
      <c r="K66" s="1290"/>
      <c r="L66" s="1290"/>
      <c r="M66" s="1290"/>
      <c r="N66" s="1290"/>
      <c r="O66" s="1290"/>
      <c r="P66" s="1290"/>
      <c r="Q66" s="1290"/>
      <c r="R66" s="1290"/>
    </row>
    <row r="67" spans="1:18" s="484" customFormat="1" ht="39.950000000000003" customHeight="1" x14ac:dyDescent="0.25">
      <c r="A67" s="167">
        <v>3</v>
      </c>
      <c r="B67" s="1290" t="s">
        <v>1839</v>
      </c>
      <c r="C67" s="1290"/>
      <c r="D67" s="1290"/>
      <c r="E67" s="1290"/>
      <c r="F67" s="1290"/>
      <c r="G67" s="1290"/>
      <c r="H67" s="1290"/>
      <c r="I67" s="1290"/>
      <c r="J67" s="1290"/>
      <c r="K67" s="1290"/>
      <c r="L67" s="1290"/>
      <c r="M67" s="1290"/>
      <c r="N67" s="1290"/>
      <c r="O67" s="1290"/>
      <c r="P67" s="1290"/>
      <c r="Q67" s="1290"/>
      <c r="R67" s="1290"/>
    </row>
    <row r="68" spans="1:18" s="484" customFormat="1" ht="84.95" customHeight="1" x14ac:dyDescent="0.25">
      <c r="A68" s="167">
        <v>4</v>
      </c>
      <c r="B68" s="1290" t="s">
        <v>1840</v>
      </c>
      <c r="C68" s="1290"/>
      <c r="D68" s="1290"/>
      <c r="E68" s="1290"/>
      <c r="F68" s="1290"/>
      <c r="G68" s="1290"/>
      <c r="H68" s="1290"/>
      <c r="I68" s="1290"/>
      <c r="J68" s="1290"/>
      <c r="K68" s="1290"/>
      <c r="L68" s="1290"/>
      <c r="M68" s="1290"/>
      <c r="N68" s="1290"/>
      <c r="O68" s="1290"/>
      <c r="P68" s="1290"/>
      <c r="Q68" s="1290"/>
      <c r="R68" s="1290"/>
    </row>
    <row r="69" spans="1:18" ht="20.100000000000001" customHeight="1" x14ac:dyDescent="0.25">
      <c r="C69" s="1289"/>
      <c r="D69" s="1289"/>
      <c r="E69" s="1289"/>
      <c r="F69" s="1289"/>
      <c r="G69" s="1289"/>
      <c r="H69" s="1289"/>
    </row>
  </sheetData>
  <sheetProtection password="CCBE" sheet="1" objects="1" scenarios="1"/>
  <mergeCells count="72">
    <mergeCell ref="A2:R2"/>
    <mergeCell ref="A3:R3"/>
    <mergeCell ref="A1:R1"/>
    <mergeCell ref="C59:E59"/>
    <mergeCell ref="F59:K59"/>
    <mergeCell ref="B15:R15"/>
    <mergeCell ref="A4:R4"/>
    <mergeCell ref="A5:R5"/>
    <mergeCell ref="A6:R6"/>
    <mergeCell ref="A8:R8"/>
    <mergeCell ref="A9:R9"/>
    <mergeCell ref="A7:R7"/>
    <mergeCell ref="A10:R10"/>
    <mergeCell ref="A11:R11"/>
    <mergeCell ref="A12:R12"/>
    <mergeCell ref="B48:R48"/>
    <mergeCell ref="B57:R57"/>
    <mergeCell ref="B13:R13"/>
    <mergeCell ref="B14:R14"/>
    <mergeCell ref="B23:R23"/>
    <mergeCell ref="B16:R16"/>
    <mergeCell ref="B17:R17"/>
    <mergeCell ref="B18:R18"/>
    <mergeCell ref="B19:R19"/>
    <mergeCell ref="B20:R20"/>
    <mergeCell ref="B21:R21"/>
    <mergeCell ref="B51:R51"/>
    <mergeCell ref="B52:R52"/>
    <mergeCell ref="B53:R53"/>
    <mergeCell ref="B54:R54"/>
    <mergeCell ref="B22:R22"/>
    <mergeCell ref="B32:R32"/>
    <mergeCell ref="B24:R24"/>
    <mergeCell ref="B25:R25"/>
    <mergeCell ref="B26:R26"/>
    <mergeCell ref="B41:R41"/>
    <mergeCell ref="B42:R42"/>
    <mergeCell ref="B40:R40"/>
    <mergeCell ref="B43:R43"/>
    <mergeCell ref="B45:R45"/>
    <mergeCell ref="B46:R46"/>
    <mergeCell ref="B47:R47"/>
    <mergeCell ref="A49:R49"/>
    <mergeCell ref="A50:R50"/>
    <mergeCell ref="B55:R55"/>
    <mergeCell ref="B27:R27"/>
    <mergeCell ref="B28:R28"/>
    <mergeCell ref="B56:R56"/>
    <mergeCell ref="B29:R29"/>
    <mergeCell ref="B30:R30"/>
    <mergeCell ref="B31:R31"/>
    <mergeCell ref="B44:R44"/>
    <mergeCell ref="B33:R33"/>
    <mergeCell ref="B34:R34"/>
    <mergeCell ref="B35:R35"/>
    <mergeCell ref="B36:R36"/>
    <mergeCell ref="B37:R37"/>
    <mergeCell ref="B38:R38"/>
    <mergeCell ref="B39:R39"/>
    <mergeCell ref="B58:R58"/>
    <mergeCell ref="C69:H69"/>
    <mergeCell ref="B68:R68"/>
    <mergeCell ref="C60:E60"/>
    <mergeCell ref="F60:K60"/>
    <mergeCell ref="C61:E61"/>
    <mergeCell ref="F61:K61"/>
    <mergeCell ref="C62:K62"/>
    <mergeCell ref="B66:R66"/>
    <mergeCell ref="B67:R67"/>
    <mergeCell ref="A63:R63"/>
    <mergeCell ref="A64:R64"/>
    <mergeCell ref="B65:R65"/>
  </mergeCells>
  <hyperlinks>
    <hyperlink ref="C62:H62" location="'Section 4 Instructions'!A8" display="NOTE:   Click here for the 'Important Note Regarding Boilers'." xr:uid="{00000000-0004-0000-0500-000000000000}"/>
  </hyperlinks>
  <pageMargins left="0.5" right="0.5" top="0.5" bottom="0.5" header="0.3" footer="0.3"/>
  <pageSetup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2060"/>
    <pageSetUpPr fitToPage="1"/>
  </sheetPr>
  <dimension ref="A1:L52"/>
  <sheetViews>
    <sheetView showGridLines="0" zoomScaleNormal="100" workbookViewId="0">
      <selection sqref="A1:H1"/>
    </sheetView>
  </sheetViews>
  <sheetFormatPr defaultRowHeight="15" x14ac:dyDescent="0.25"/>
  <cols>
    <col min="1" max="1" width="34.7109375" style="66" customWidth="1"/>
    <col min="2" max="2" width="74.5703125" style="66" customWidth="1"/>
    <col min="3" max="9" width="9.7109375" style="64" customWidth="1"/>
    <col min="10" max="254" width="9.140625" style="64"/>
    <col min="255" max="255" width="20" style="64" customWidth="1"/>
    <col min="256" max="256" width="19.28515625" style="64" customWidth="1"/>
    <col min="257" max="257" width="60.140625" style="64" customWidth="1"/>
    <col min="258" max="258" width="25.140625" style="64" customWidth="1"/>
    <col min="259" max="510" width="9.140625" style="64"/>
    <col min="511" max="511" width="20" style="64" customWidth="1"/>
    <col min="512" max="512" width="19.28515625" style="64" customWidth="1"/>
    <col min="513" max="513" width="60.140625" style="64" customWidth="1"/>
    <col min="514" max="514" width="25.140625" style="64" customWidth="1"/>
    <col min="515" max="766" width="9.140625" style="64"/>
    <col min="767" max="767" width="20" style="64" customWidth="1"/>
    <col min="768" max="768" width="19.28515625" style="64" customWidth="1"/>
    <col min="769" max="769" width="60.140625" style="64" customWidth="1"/>
    <col min="770" max="770" width="25.140625" style="64" customWidth="1"/>
    <col min="771" max="1022" width="9.140625" style="64"/>
    <col min="1023" max="1023" width="20" style="64" customWidth="1"/>
    <col min="1024" max="1024" width="19.28515625" style="64" customWidth="1"/>
    <col min="1025" max="1025" width="60.140625" style="64" customWidth="1"/>
    <col min="1026" max="1026" width="25.140625" style="64" customWidth="1"/>
    <col min="1027" max="1278" width="9.140625" style="64"/>
    <col min="1279" max="1279" width="20" style="64" customWidth="1"/>
    <col min="1280" max="1280" width="19.28515625" style="64" customWidth="1"/>
    <col min="1281" max="1281" width="60.140625" style="64" customWidth="1"/>
    <col min="1282" max="1282" width="25.140625" style="64" customWidth="1"/>
    <col min="1283" max="1534" width="9.140625" style="64"/>
    <col min="1535" max="1535" width="20" style="64" customWidth="1"/>
    <col min="1536" max="1536" width="19.28515625" style="64" customWidth="1"/>
    <col min="1537" max="1537" width="60.140625" style="64" customWidth="1"/>
    <col min="1538" max="1538" width="25.140625" style="64" customWidth="1"/>
    <col min="1539" max="1790" width="9.140625" style="64"/>
    <col min="1791" max="1791" width="20" style="64" customWidth="1"/>
    <col min="1792" max="1792" width="19.28515625" style="64" customWidth="1"/>
    <col min="1793" max="1793" width="60.140625" style="64" customWidth="1"/>
    <col min="1794" max="1794" width="25.140625" style="64" customWidth="1"/>
    <col min="1795" max="2046" width="9.140625" style="64"/>
    <col min="2047" max="2047" width="20" style="64" customWidth="1"/>
    <col min="2048" max="2048" width="19.28515625" style="64" customWidth="1"/>
    <col min="2049" max="2049" width="60.140625" style="64" customWidth="1"/>
    <col min="2050" max="2050" width="25.140625" style="64" customWidth="1"/>
    <col min="2051" max="2302" width="9.140625" style="64"/>
    <col min="2303" max="2303" width="20" style="64" customWidth="1"/>
    <col min="2304" max="2304" width="19.28515625" style="64" customWidth="1"/>
    <col min="2305" max="2305" width="60.140625" style="64" customWidth="1"/>
    <col min="2306" max="2306" width="25.140625" style="64" customWidth="1"/>
    <col min="2307" max="2558" width="9.140625" style="64"/>
    <col min="2559" max="2559" width="20" style="64" customWidth="1"/>
    <col min="2560" max="2560" width="19.28515625" style="64" customWidth="1"/>
    <col min="2561" max="2561" width="60.140625" style="64" customWidth="1"/>
    <col min="2562" max="2562" width="25.140625" style="64" customWidth="1"/>
    <col min="2563" max="2814" width="9.140625" style="64"/>
    <col min="2815" max="2815" width="20" style="64" customWidth="1"/>
    <col min="2816" max="2816" width="19.28515625" style="64" customWidth="1"/>
    <col min="2817" max="2817" width="60.140625" style="64" customWidth="1"/>
    <col min="2818" max="2818" width="25.140625" style="64" customWidth="1"/>
    <col min="2819" max="3070" width="9.140625" style="64"/>
    <col min="3071" max="3071" width="20" style="64" customWidth="1"/>
    <col min="3072" max="3072" width="19.28515625" style="64" customWidth="1"/>
    <col min="3073" max="3073" width="60.140625" style="64" customWidth="1"/>
    <col min="3074" max="3074" width="25.140625" style="64" customWidth="1"/>
    <col min="3075" max="3326" width="9.140625" style="64"/>
    <col min="3327" max="3327" width="20" style="64" customWidth="1"/>
    <col min="3328" max="3328" width="19.28515625" style="64" customWidth="1"/>
    <col min="3329" max="3329" width="60.140625" style="64" customWidth="1"/>
    <col min="3330" max="3330" width="25.140625" style="64" customWidth="1"/>
    <col min="3331" max="3582" width="9.140625" style="64"/>
    <col min="3583" max="3583" width="20" style="64" customWidth="1"/>
    <col min="3584" max="3584" width="19.28515625" style="64" customWidth="1"/>
    <col min="3585" max="3585" width="60.140625" style="64" customWidth="1"/>
    <col min="3586" max="3586" width="25.140625" style="64" customWidth="1"/>
    <col min="3587" max="3838" width="9.140625" style="64"/>
    <col min="3839" max="3839" width="20" style="64" customWidth="1"/>
    <col min="3840" max="3840" width="19.28515625" style="64" customWidth="1"/>
    <col min="3841" max="3841" width="60.140625" style="64" customWidth="1"/>
    <col min="3842" max="3842" width="25.140625" style="64" customWidth="1"/>
    <col min="3843" max="4094" width="9.140625" style="64"/>
    <col min="4095" max="4095" width="20" style="64" customWidth="1"/>
    <col min="4096" max="4096" width="19.28515625" style="64" customWidth="1"/>
    <col min="4097" max="4097" width="60.140625" style="64" customWidth="1"/>
    <col min="4098" max="4098" width="25.140625" style="64" customWidth="1"/>
    <col min="4099" max="4350" width="9.140625" style="64"/>
    <col min="4351" max="4351" width="20" style="64" customWidth="1"/>
    <col min="4352" max="4352" width="19.28515625" style="64" customWidth="1"/>
    <col min="4353" max="4353" width="60.140625" style="64" customWidth="1"/>
    <col min="4354" max="4354" width="25.140625" style="64" customWidth="1"/>
    <col min="4355" max="4606" width="9.140625" style="64"/>
    <col min="4607" max="4607" width="20" style="64" customWidth="1"/>
    <col min="4608" max="4608" width="19.28515625" style="64" customWidth="1"/>
    <col min="4609" max="4609" width="60.140625" style="64" customWidth="1"/>
    <col min="4610" max="4610" width="25.140625" style="64" customWidth="1"/>
    <col min="4611" max="4862" width="9.140625" style="64"/>
    <col min="4863" max="4863" width="20" style="64" customWidth="1"/>
    <col min="4864" max="4864" width="19.28515625" style="64" customWidth="1"/>
    <col min="4865" max="4865" width="60.140625" style="64" customWidth="1"/>
    <col min="4866" max="4866" width="25.140625" style="64" customWidth="1"/>
    <col min="4867" max="5118" width="9.140625" style="64"/>
    <col min="5119" max="5119" width="20" style="64" customWidth="1"/>
    <col min="5120" max="5120" width="19.28515625" style="64" customWidth="1"/>
    <col min="5121" max="5121" width="60.140625" style="64" customWidth="1"/>
    <col min="5122" max="5122" width="25.140625" style="64" customWidth="1"/>
    <col min="5123" max="5374" width="9.140625" style="64"/>
    <col min="5375" max="5375" width="20" style="64" customWidth="1"/>
    <col min="5376" max="5376" width="19.28515625" style="64" customWidth="1"/>
    <col min="5377" max="5377" width="60.140625" style="64" customWidth="1"/>
    <col min="5378" max="5378" width="25.140625" style="64" customWidth="1"/>
    <col min="5379" max="5630" width="9.140625" style="64"/>
    <col min="5631" max="5631" width="20" style="64" customWidth="1"/>
    <col min="5632" max="5632" width="19.28515625" style="64" customWidth="1"/>
    <col min="5633" max="5633" width="60.140625" style="64" customWidth="1"/>
    <col min="5634" max="5634" width="25.140625" style="64" customWidth="1"/>
    <col min="5635" max="5886" width="9.140625" style="64"/>
    <col min="5887" max="5887" width="20" style="64" customWidth="1"/>
    <col min="5888" max="5888" width="19.28515625" style="64" customWidth="1"/>
    <col min="5889" max="5889" width="60.140625" style="64" customWidth="1"/>
    <col min="5890" max="5890" width="25.140625" style="64" customWidth="1"/>
    <col min="5891" max="6142" width="9.140625" style="64"/>
    <col min="6143" max="6143" width="20" style="64" customWidth="1"/>
    <col min="6144" max="6144" width="19.28515625" style="64" customWidth="1"/>
    <col min="6145" max="6145" width="60.140625" style="64" customWidth="1"/>
    <col min="6146" max="6146" width="25.140625" style="64" customWidth="1"/>
    <col min="6147" max="6398" width="9.140625" style="64"/>
    <col min="6399" max="6399" width="20" style="64" customWidth="1"/>
    <col min="6400" max="6400" width="19.28515625" style="64" customWidth="1"/>
    <col min="6401" max="6401" width="60.140625" style="64" customWidth="1"/>
    <col min="6402" max="6402" width="25.140625" style="64" customWidth="1"/>
    <col min="6403" max="6654" width="9.140625" style="64"/>
    <col min="6655" max="6655" width="20" style="64" customWidth="1"/>
    <col min="6656" max="6656" width="19.28515625" style="64" customWidth="1"/>
    <col min="6657" max="6657" width="60.140625" style="64" customWidth="1"/>
    <col min="6658" max="6658" width="25.140625" style="64" customWidth="1"/>
    <col min="6659" max="6910" width="9.140625" style="64"/>
    <col min="6911" max="6911" width="20" style="64" customWidth="1"/>
    <col min="6912" max="6912" width="19.28515625" style="64" customWidth="1"/>
    <col min="6913" max="6913" width="60.140625" style="64" customWidth="1"/>
    <col min="6914" max="6914" width="25.140625" style="64" customWidth="1"/>
    <col min="6915" max="7166" width="9.140625" style="64"/>
    <col min="7167" max="7167" width="20" style="64" customWidth="1"/>
    <col min="7168" max="7168" width="19.28515625" style="64" customWidth="1"/>
    <col min="7169" max="7169" width="60.140625" style="64" customWidth="1"/>
    <col min="7170" max="7170" width="25.140625" style="64" customWidth="1"/>
    <col min="7171" max="7422" width="9.140625" style="64"/>
    <col min="7423" max="7423" width="20" style="64" customWidth="1"/>
    <col min="7424" max="7424" width="19.28515625" style="64" customWidth="1"/>
    <col min="7425" max="7425" width="60.140625" style="64" customWidth="1"/>
    <col min="7426" max="7426" width="25.140625" style="64" customWidth="1"/>
    <col min="7427" max="7678" width="9.140625" style="64"/>
    <col min="7679" max="7679" width="20" style="64" customWidth="1"/>
    <col min="7680" max="7680" width="19.28515625" style="64" customWidth="1"/>
    <col min="7681" max="7681" width="60.140625" style="64" customWidth="1"/>
    <col min="7682" max="7682" width="25.140625" style="64" customWidth="1"/>
    <col min="7683" max="7934" width="9.140625" style="64"/>
    <col min="7935" max="7935" width="20" style="64" customWidth="1"/>
    <col min="7936" max="7936" width="19.28515625" style="64" customWidth="1"/>
    <col min="7937" max="7937" width="60.140625" style="64" customWidth="1"/>
    <col min="7938" max="7938" width="25.140625" style="64" customWidth="1"/>
    <col min="7939" max="8190" width="9.140625" style="64"/>
    <col min="8191" max="8191" width="20" style="64" customWidth="1"/>
    <col min="8192" max="8192" width="19.28515625" style="64" customWidth="1"/>
    <col min="8193" max="8193" width="60.140625" style="64" customWidth="1"/>
    <col min="8194" max="8194" width="25.140625" style="64" customWidth="1"/>
    <col min="8195" max="8446" width="9.140625" style="64"/>
    <col min="8447" max="8447" width="20" style="64" customWidth="1"/>
    <col min="8448" max="8448" width="19.28515625" style="64" customWidth="1"/>
    <col min="8449" max="8449" width="60.140625" style="64" customWidth="1"/>
    <col min="8450" max="8450" width="25.140625" style="64" customWidth="1"/>
    <col min="8451" max="8702" width="9.140625" style="64"/>
    <col min="8703" max="8703" width="20" style="64" customWidth="1"/>
    <col min="8704" max="8704" width="19.28515625" style="64" customWidth="1"/>
    <col min="8705" max="8705" width="60.140625" style="64" customWidth="1"/>
    <col min="8706" max="8706" width="25.140625" style="64" customWidth="1"/>
    <col min="8707" max="8958" width="9.140625" style="64"/>
    <col min="8959" max="8959" width="20" style="64" customWidth="1"/>
    <col min="8960" max="8960" width="19.28515625" style="64" customWidth="1"/>
    <col min="8961" max="8961" width="60.140625" style="64" customWidth="1"/>
    <col min="8962" max="8962" width="25.140625" style="64" customWidth="1"/>
    <col min="8963" max="9214" width="9.140625" style="64"/>
    <col min="9215" max="9215" width="20" style="64" customWidth="1"/>
    <col min="9216" max="9216" width="19.28515625" style="64" customWidth="1"/>
    <col min="9217" max="9217" width="60.140625" style="64" customWidth="1"/>
    <col min="9218" max="9218" width="25.140625" style="64" customWidth="1"/>
    <col min="9219" max="9470" width="9.140625" style="64"/>
    <col min="9471" max="9471" width="20" style="64" customWidth="1"/>
    <col min="9472" max="9472" width="19.28515625" style="64" customWidth="1"/>
    <col min="9473" max="9473" width="60.140625" style="64" customWidth="1"/>
    <col min="9474" max="9474" width="25.140625" style="64" customWidth="1"/>
    <col min="9475" max="9726" width="9.140625" style="64"/>
    <col min="9727" max="9727" width="20" style="64" customWidth="1"/>
    <col min="9728" max="9728" width="19.28515625" style="64" customWidth="1"/>
    <col min="9729" max="9729" width="60.140625" style="64" customWidth="1"/>
    <col min="9730" max="9730" width="25.140625" style="64" customWidth="1"/>
    <col min="9731" max="9982" width="9.140625" style="64"/>
    <col min="9983" max="9983" width="20" style="64" customWidth="1"/>
    <col min="9984" max="9984" width="19.28515625" style="64" customWidth="1"/>
    <col min="9985" max="9985" width="60.140625" style="64" customWidth="1"/>
    <col min="9986" max="9986" width="25.140625" style="64" customWidth="1"/>
    <col min="9987" max="10238" width="9.140625" style="64"/>
    <col min="10239" max="10239" width="20" style="64" customWidth="1"/>
    <col min="10240" max="10240" width="19.28515625" style="64" customWidth="1"/>
    <col min="10241" max="10241" width="60.140625" style="64" customWidth="1"/>
    <col min="10242" max="10242" width="25.140625" style="64" customWidth="1"/>
    <col min="10243" max="10494" width="9.140625" style="64"/>
    <col min="10495" max="10495" width="20" style="64" customWidth="1"/>
    <col min="10496" max="10496" width="19.28515625" style="64" customWidth="1"/>
    <col min="10497" max="10497" width="60.140625" style="64" customWidth="1"/>
    <col min="10498" max="10498" width="25.140625" style="64" customWidth="1"/>
    <col min="10499" max="10750" width="9.140625" style="64"/>
    <col min="10751" max="10751" width="20" style="64" customWidth="1"/>
    <col min="10752" max="10752" width="19.28515625" style="64" customWidth="1"/>
    <col min="10753" max="10753" width="60.140625" style="64" customWidth="1"/>
    <col min="10754" max="10754" width="25.140625" style="64" customWidth="1"/>
    <col min="10755" max="11006" width="9.140625" style="64"/>
    <col min="11007" max="11007" width="20" style="64" customWidth="1"/>
    <col min="11008" max="11008" width="19.28515625" style="64" customWidth="1"/>
    <col min="11009" max="11009" width="60.140625" style="64" customWidth="1"/>
    <col min="11010" max="11010" width="25.140625" style="64" customWidth="1"/>
    <col min="11011" max="11262" width="9.140625" style="64"/>
    <col min="11263" max="11263" width="20" style="64" customWidth="1"/>
    <col min="11264" max="11264" width="19.28515625" style="64" customWidth="1"/>
    <col min="11265" max="11265" width="60.140625" style="64" customWidth="1"/>
    <col min="11266" max="11266" width="25.140625" style="64" customWidth="1"/>
    <col min="11267" max="11518" width="9.140625" style="64"/>
    <col min="11519" max="11519" width="20" style="64" customWidth="1"/>
    <col min="11520" max="11520" width="19.28515625" style="64" customWidth="1"/>
    <col min="11521" max="11521" width="60.140625" style="64" customWidth="1"/>
    <col min="11522" max="11522" width="25.140625" style="64" customWidth="1"/>
    <col min="11523" max="11774" width="9.140625" style="64"/>
    <col min="11775" max="11775" width="20" style="64" customWidth="1"/>
    <col min="11776" max="11776" width="19.28515625" style="64" customWidth="1"/>
    <col min="11777" max="11777" width="60.140625" style="64" customWidth="1"/>
    <col min="11778" max="11778" width="25.140625" style="64" customWidth="1"/>
    <col min="11779" max="12030" width="9.140625" style="64"/>
    <col min="12031" max="12031" width="20" style="64" customWidth="1"/>
    <col min="12032" max="12032" width="19.28515625" style="64" customWidth="1"/>
    <col min="12033" max="12033" width="60.140625" style="64" customWidth="1"/>
    <col min="12034" max="12034" width="25.140625" style="64" customWidth="1"/>
    <col min="12035" max="12286" width="9.140625" style="64"/>
    <col min="12287" max="12287" width="20" style="64" customWidth="1"/>
    <col min="12288" max="12288" width="19.28515625" style="64" customWidth="1"/>
    <col min="12289" max="12289" width="60.140625" style="64" customWidth="1"/>
    <col min="12290" max="12290" width="25.140625" style="64" customWidth="1"/>
    <col min="12291" max="12542" width="9.140625" style="64"/>
    <col min="12543" max="12543" width="20" style="64" customWidth="1"/>
    <col min="12544" max="12544" width="19.28515625" style="64" customWidth="1"/>
    <col min="12545" max="12545" width="60.140625" style="64" customWidth="1"/>
    <col min="12546" max="12546" width="25.140625" style="64" customWidth="1"/>
    <col min="12547" max="12798" width="9.140625" style="64"/>
    <col min="12799" max="12799" width="20" style="64" customWidth="1"/>
    <col min="12800" max="12800" width="19.28515625" style="64" customWidth="1"/>
    <col min="12801" max="12801" width="60.140625" style="64" customWidth="1"/>
    <col min="12802" max="12802" width="25.140625" style="64" customWidth="1"/>
    <col min="12803" max="13054" width="9.140625" style="64"/>
    <col min="13055" max="13055" width="20" style="64" customWidth="1"/>
    <col min="13056" max="13056" width="19.28515625" style="64" customWidth="1"/>
    <col min="13057" max="13057" width="60.140625" style="64" customWidth="1"/>
    <col min="13058" max="13058" width="25.140625" style="64" customWidth="1"/>
    <col min="13059" max="13310" width="9.140625" style="64"/>
    <col min="13311" max="13311" width="20" style="64" customWidth="1"/>
    <col min="13312" max="13312" width="19.28515625" style="64" customWidth="1"/>
    <col min="13313" max="13313" width="60.140625" style="64" customWidth="1"/>
    <col min="13314" max="13314" width="25.140625" style="64" customWidth="1"/>
    <col min="13315" max="13566" width="9.140625" style="64"/>
    <col min="13567" max="13567" width="20" style="64" customWidth="1"/>
    <col min="13568" max="13568" width="19.28515625" style="64" customWidth="1"/>
    <col min="13569" max="13569" width="60.140625" style="64" customWidth="1"/>
    <col min="13570" max="13570" width="25.140625" style="64" customWidth="1"/>
    <col min="13571" max="13822" width="9.140625" style="64"/>
    <col min="13823" max="13823" width="20" style="64" customWidth="1"/>
    <col min="13824" max="13824" width="19.28515625" style="64" customWidth="1"/>
    <col min="13825" max="13825" width="60.140625" style="64" customWidth="1"/>
    <col min="13826" max="13826" width="25.140625" style="64" customWidth="1"/>
    <col min="13827" max="14078" width="9.140625" style="64"/>
    <col min="14079" max="14079" width="20" style="64" customWidth="1"/>
    <col min="14080" max="14080" width="19.28515625" style="64" customWidth="1"/>
    <col min="14081" max="14081" width="60.140625" style="64" customWidth="1"/>
    <col min="14082" max="14082" width="25.140625" style="64" customWidth="1"/>
    <col min="14083" max="14334" width="9.140625" style="64"/>
    <col min="14335" max="14335" width="20" style="64" customWidth="1"/>
    <col min="14336" max="14336" width="19.28515625" style="64" customWidth="1"/>
    <col min="14337" max="14337" width="60.140625" style="64" customWidth="1"/>
    <col min="14338" max="14338" width="25.140625" style="64" customWidth="1"/>
    <col min="14339" max="14590" width="9.140625" style="64"/>
    <col min="14591" max="14591" width="20" style="64" customWidth="1"/>
    <col min="14592" max="14592" width="19.28515625" style="64" customWidth="1"/>
    <col min="14593" max="14593" width="60.140625" style="64" customWidth="1"/>
    <col min="14594" max="14594" width="25.140625" style="64" customWidth="1"/>
    <col min="14595" max="14846" width="9.140625" style="64"/>
    <col min="14847" max="14847" width="20" style="64" customWidth="1"/>
    <col min="14848" max="14848" width="19.28515625" style="64" customWidth="1"/>
    <col min="14849" max="14849" width="60.140625" style="64" customWidth="1"/>
    <col min="14850" max="14850" width="25.140625" style="64" customWidth="1"/>
    <col min="14851" max="15102" width="9.140625" style="64"/>
    <col min="15103" max="15103" width="20" style="64" customWidth="1"/>
    <col min="15104" max="15104" width="19.28515625" style="64" customWidth="1"/>
    <col min="15105" max="15105" width="60.140625" style="64" customWidth="1"/>
    <col min="15106" max="15106" width="25.140625" style="64" customWidth="1"/>
    <col min="15107" max="15358" width="9.140625" style="64"/>
    <col min="15359" max="15359" width="20" style="64" customWidth="1"/>
    <col min="15360" max="15360" width="19.28515625" style="64" customWidth="1"/>
    <col min="15361" max="15361" width="60.140625" style="64" customWidth="1"/>
    <col min="15362" max="15362" width="25.140625" style="64" customWidth="1"/>
    <col min="15363" max="15614" width="9.140625" style="64"/>
    <col min="15615" max="15615" width="20" style="64" customWidth="1"/>
    <col min="15616" max="15616" width="19.28515625" style="64" customWidth="1"/>
    <col min="15617" max="15617" width="60.140625" style="64" customWidth="1"/>
    <col min="15618" max="15618" width="25.140625" style="64" customWidth="1"/>
    <col min="15619" max="15870" width="9.140625" style="64"/>
    <col min="15871" max="15871" width="20" style="64" customWidth="1"/>
    <col min="15872" max="15872" width="19.28515625" style="64" customWidth="1"/>
    <col min="15873" max="15873" width="60.140625" style="64" customWidth="1"/>
    <col min="15874" max="15874" width="25.140625" style="64" customWidth="1"/>
    <col min="15875" max="16126" width="9.140625" style="64"/>
    <col min="16127" max="16127" width="20" style="64" customWidth="1"/>
    <col min="16128" max="16128" width="19.28515625" style="64" customWidth="1"/>
    <col min="16129" max="16129" width="60.140625" style="64" customWidth="1"/>
    <col min="16130" max="16130" width="25.140625" style="64" customWidth="1"/>
    <col min="16131" max="16384" width="9.140625" style="64"/>
  </cols>
  <sheetData>
    <row r="1" spans="1:12" s="69" customFormat="1" ht="26.25" customHeight="1" thickBot="1" x14ac:dyDescent="0.3">
      <c r="A1" s="1255" t="s">
        <v>1703</v>
      </c>
      <c r="B1" s="1255"/>
      <c r="C1" s="1255"/>
      <c r="D1" s="1255"/>
      <c r="E1" s="1255"/>
      <c r="F1" s="1255"/>
      <c r="G1" s="1255"/>
      <c r="H1" s="1255"/>
      <c r="I1" s="79"/>
      <c r="J1" s="79"/>
      <c r="K1" s="79"/>
      <c r="L1" s="79"/>
    </row>
    <row r="2" spans="1:12" s="68" customFormat="1" ht="24.95" customHeight="1" x14ac:dyDescent="0.25">
      <c r="A2" s="1257" t="s">
        <v>1828</v>
      </c>
      <c r="B2" s="1257"/>
      <c r="C2" s="1257"/>
      <c r="D2" s="1257"/>
      <c r="E2" s="1257"/>
      <c r="F2" s="1257"/>
      <c r="G2" s="1257"/>
      <c r="H2" s="1257"/>
    </row>
    <row r="3" spans="1:12" ht="20.100000000000001" customHeight="1" x14ac:dyDescent="0.25">
      <c r="A3" s="1204" t="s">
        <v>1500</v>
      </c>
      <c r="B3" s="1204"/>
      <c r="C3" s="1204"/>
      <c r="D3" s="1204"/>
      <c r="E3" s="1204"/>
      <c r="F3" s="1204"/>
      <c r="G3" s="1204"/>
      <c r="H3" s="1204"/>
    </row>
    <row r="4" spans="1:12" ht="35.1" customHeight="1" x14ac:dyDescent="0.25">
      <c r="A4" s="1204" t="s">
        <v>1501</v>
      </c>
      <c r="B4" s="1204"/>
      <c r="C4" s="1204"/>
      <c r="D4" s="1204"/>
      <c r="E4" s="1204"/>
      <c r="F4" s="1204"/>
      <c r="G4" s="1204"/>
      <c r="H4" s="1204"/>
    </row>
    <row r="5" spans="1:12" ht="20.100000000000001" customHeight="1" x14ac:dyDescent="0.25">
      <c r="A5" s="1204" t="s">
        <v>1502</v>
      </c>
      <c r="B5" s="1204"/>
      <c r="C5" s="1204"/>
      <c r="D5" s="1204"/>
      <c r="E5" s="1204"/>
      <c r="F5" s="1204"/>
      <c r="G5" s="1204"/>
      <c r="H5" s="1204"/>
    </row>
    <row r="6" spans="1:12" ht="20.100000000000001" customHeight="1" x14ac:dyDescent="0.25">
      <c r="A6" s="1204" t="s">
        <v>1503</v>
      </c>
      <c r="B6" s="1204"/>
      <c r="C6" s="1204"/>
      <c r="D6" s="1204"/>
      <c r="E6" s="1204"/>
      <c r="F6" s="1204"/>
      <c r="G6" s="1204"/>
      <c r="H6" s="1204"/>
    </row>
    <row r="7" spans="1:12" ht="24.95" customHeight="1" thickBot="1" x14ac:dyDescent="0.3">
      <c r="A7" s="1204" t="s">
        <v>1829</v>
      </c>
      <c r="B7" s="1204"/>
      <c r="C7" s="1204"/>
      <c r="D7" s="1204"/>
      <c r="E7" s="1204"/>
      <c r="F7" s="1204"/>
      <c r="G7" s="1204"/>
      <c r="H7" s="1204"/>
    </row>
    <row r="8" spans="1:12" s="77" customFormat="1" ht="19.5" thickBot="1" x14ac:dyDescent="0.3">
      <c r="A8" s="1211" t="s">
        <v>1422</v>
      </c>
      <c r="B8" s="1211"/>
      <c r="C8" s="1211"/>
      <c r="D8" s="1211"/>
      <c r="E8" s="1211"/>
      <c r="F8" s="1211"/>
      <c r="G8" s="1211"/>
      <c r="H8" s="1211"/>
    </row>
    <row r="9" spans="1:12" ht="60" customHeight="1" x14ac:dyDescent="0.25">
      <c r="A9" s="1"/>
      <c r="B9" s="1"/>
    </row>
    <row r="10" spans="1:12" s="65" customFormat="1" ht="24.95" customHeight="1" x14ac:dyDescent="0.25">
      <c r="A10" s="1213" t="s">
        <v>1399</v>
      </c>
      <c r="B10" s="1213"/>
    </row>
    <row r="11" spans="1:12" s="65" customFormat="1" ht="14.25" customHeight="1" x14ac:dyDescent="0.25">
      <c r="A11" s="842" t="s">
        <v>2388</v>
      </c>
      <c r="B11" s="829"/>
    </row>
    <row r="12" spans="1:12" ht="11.25" customHeight="1" thickBot="1" x14ac:dyDescent="0.3">
      <c r="A12" s="827"/>
      <c r="B12" s="841" t="str">
        <f>"Ver."&amp;" "&amp;TEXT(Introduction!$M$3,"MM/YYYY")</f>
        <v>Ver. 01/2025</v>
      </c>
    </row>
    <row r="13" spans="1:12" ht="28.7" customHeight="1" thickBot="1" x14ac:dyDescent="0.3">
      <c r="A13" s="796" t="s">
        <v>28</v>
      </c>
      <c r="B13" s="797" t="s">
        <v>29</v>
      </c>
    </row>
    <row r="14" spans="1:12" ht="18" customHeight="1" x14ac:dyDescent="0.25">
      <c r="A14" s="298"/>
      <c r="B14" s="298"/>
    </row>
    <row r="15" spans="1:12" ht="18" customHeight="1" x14ac:dyDescent="0.25">
      <c r="A15" s="289"/>
      <c r="B15" s="289"/>
    </row>
    <row r="16" spans="1:12" ht="18" customHeight="1" x14ac:dyDescent="0.25">
      <c r="A16" s="289"/>
      <c r="B16" s="289"/>
    </row>
    <row r="17" spans="1:2" ht="18" customHeight="1" x14ac:dyDescent="0.25">
      <c r="A17" s="289"/>
      <c r="B17" s="289"/>
    </row>
    <row r="18" spans="1:2" ht="18" customHeight="1" x14ac:dyDescent="0.25">
      <c r="A18" s="289"/>
      <c r="B18" s="289"/>
    </row>
    <row r="19" spans="1:2" ht="18" customHeight="1" x14ac:dyDescent="0.25">
      <c r="A19" s="289"/>
      <c r="B19" s="289"/>
    </row>
    <row r="20" spans="1:2" ht="18" customHeight="1" x14ac:dyDescent="0.25">
      <c r="A20" s="289"/>
      <c r="B20" s="289"/>
    </row>
    <row r="21" spans="1:2" ht="18" customHeight="1" x14ac:dyDescent="0.25">
      <c r="A21" s="289"/>
      <c r="B21" s="289"/>
    </row>
    <row r="22" spans="1:2" ht="18" customHeight="1" x14ac:dyDescent="0.25">
      <c r="A22" s="289"/>
      <c r="B22" s="289"/>
    </row>
    <row r="23" spans="1:2" ht="18" customHeight="1" x14ac:dyDescent="0.25">
      <c r="A23" s="289"/>
      <c r="B23" s="289"/>
    </row>
    <row r="24" spans="1:2" ht="18" customHeight="1" x14ac:dyDescent="0.25">
      <c r="A24" s="289"/>
      <c r="B24" s="289"/>
    </row>
    <row r="25" spans="1:2" ht="18" customHeight="1" x14ac:dyDescent="0.25">
      <c r="A25" s="289"/>
      <c r="B25" s="289"/>
    </row>
    <row r="26" spans="1:2" ht="18" customHeight="1" x14ac:dyDescent="0.25">
      <c r="A26" s="289"/>
      <c r="B26" s="289"/>
    </row>
    <row r="27" spans="1:2" ht="18" customHeight="1" x14ac:dyDescent="0.25">
      <c r="A27" s="289"/>
      <c r="B27" s="289"/>
    </row>
    <row r="28" spans="1:2" ht="18" customHeight="1" x14ac:dyDescent="0.25">
      <c r="A28" s="289"/>
      <c r="B28" s="289"/>
    </row>
    <row r="29" spans="1:2" ht="18" customHeight="1" x14ac:dyDescent="0.25">
      <c r="A29" s="289"/>
      <c r="B29" s="289"/>
    </row>
    <row r="30" spans="1:2" ht="18" customHeight="1" x14ac:dyDescent="0.25">
      <c r="A30" s="289"/>
      <c r="B30" s="289"/>
    </row>
    <row r="31" spans="1:2" ht="18" customHeight="1" x14ac:dyDescent="0.25">
      <c r="A31" s="289"/>
      <c r="B31" s="289"/>
    </row>
    <row r="32" spans="1:2" ht="18" customHeight="1" x14ac:dyDescent="0.25">
      <c r="A32" s="289"/>
      <c r="B32" s="289"/>
    </row>
    <row r="33" spans="1:2" ht="18" customHeight="1" x14ac:dyDescent="0.25">
      <c r="A33" s="289"/>
      <c r="B33" s="289"/>
    </row>
    <row r="34" spans="1:2" ht="18" customHeight="1" x14ac:dyDescent="0.25">
      <c r="A34" s="289"/>
      <c r="B34" s="289"/>
    </row>
    <row r="35" spans="1:2" ht="18" customHeight="1" x14ac:dyDescent="0.25">
      <c r="A35" s="289"/>
      <c r="B35" s="289"/>
    </row>
    <row r="36" spans="1:2" ht="18" customHeight="1" x14ac:dyDescent="0.25">
      <c r="A36" s="289"/>
      <c r="B36" s="289"/>
    </row>
    <row r="37" spans="1:2" ht="18" customHeight="1" x14ac:dyDescent="0.25">
      <c r="A37" s="289"/>
      <c r="B37" s="289"/>
    </row>
    <row r="38" spans="1:2" ht="18" customHeight="1" x14ac:dyDescent="0.25">
      <c r="A38" s="289"/>
      <c r="B38" s="289"/>
    </row>
    <row r="39" spans="1:2" ht="18" customHeight="1" x14ac:dyDescent="0.25">
      <c r="A39" s="289"/>
      <c r="B39" s="289"/>
    </row>
    <row r="40" spans="1:2" ht="18" customHeight="1" x14ac:dyDescent="0.25">
      <c r="A40" s="289"/>
      <c r="B40" s="289"/>
    </row>
    <row r="41" spans="1:2" ht="18" customHeight="1" x14ac:dyDescent="0.25">
      <c r="A41" s="289"/>
      <c r="B41" s="289"/>
    </row>
    <row r="42" spans="1:2" ht="18" customHeight="1" x14ac:dyDescent="0.25">
      <c r="A42" s="289"/>
      <c r="B42" s="289"/>
    </row>
    <row r="43" spans="1:2" ht="18" customHeight="1" x14ac:dyDescent="0.25">
      <c r="A43" s="289"/>
      <c r="B43" s="289"/>
    </row>
    <row r="44" spans="1:2" ht="18" customHeight="1" x14ac:dyDescent="0.25">
      <c r="A44" s="289"/>
      <c r="B44" s="289"/>
    </row>
    <row r="45" spans="1:2" ht="18" customHeight="1" x14ac:dyDescent="0.25">
      <c r="A45" s="289"/>
      <c r="B45" s="289"/>
    </row>
    <row r="46" spans="1:2" ht="18" customHeight="1" x14ac:dyDescent="0.25">
      <c r="A46" s="289"/>
      <c r="B46" s="289"/>
    </row>
    <row r="47" spans="1:2" ht="18" customHeight="1" x14ac:dyDescent="0.25">
      <c r="A47" s="289"/>
      <c r="B47" s="289"/>
    </row>
    <row r="48" spans="1:2" ht="18" customHeight="1" x14ac:dyDescent="0.25">
      <c r="A48" s="289"/>
      <c r="B48" s="289"/>
    </row>
    <row r="49" spans="1:2" ht="18" customHeight="1" x14ac:dyDescent="0.25">
      <c r="A49" s="289"/>
      <c r="B49" s="289"/>
    </row>
    <row r="50" spans="1:2" ht="18" customHeight="1" x14ac:dyDescent="0.25">
      <c r="A50" s="289"/>
      <c r="B50" s="289"/>
    </row>
    <row r="51" spans="1:2" ht="18" customHeight="1" x14ac:dyDescent="0.25">
      <c r="A51" s="289"/>
      <c r="B51" s="289"/>
    </row>
    <row r="52" spans="1:2" ht="18" customHeight="1" thickBot="1" x14ac:dyDescent="0.3">
      <c r="A52" s="293"/>
      <c r="B52" s="293"/>
    </row>
  </sheetData>
  <sheetProtection algorithmName="SHA-512" hashValue="dzZEajllYRSyJusp8/18xpT6CsZrq1ADPl3VYRZtdqAJPPuwgOiZXdPeVYKqbWlCZUpteTMEwsWFobn+28gjWw==" saltValue="+9sQ2jfNeWbSBQTYlNPrZA==" spinCount="100000" sheet="1" objects="1" scenarios="1"/>
  <dataConsolidate/>
  <mergeCells count="9">
    <mergeCell ref="A10:B10"/>
    <mergeCell ref="A1:H1"/>
    <mergeCell ref="A2:H2"/>
    <mergeCell ref="A3:H3"/>
    <mergeCell ref="A4:H4"/>
    <mergeCell ref="A5:H5"/>
    <mergeCell ref="A6:H6"/>
    <mergeCell ref="A7:H7"/>
    <mergeCell ref="A8:H8"/>
  </mergeCells>
  <conditionalFormatting sqref="B14:B52">
    <cfRule type="expression" dxfId="153" priority="1">
      <formula>AND(NOT(ISBLANK(A14)),ISBLANK(B14))</formula>
    </cfRule>
  </conditionalFormatting>
  <printOptions horizontalCentered="1"/>
  <pageMargins left="0.5" right="0.5" top="0.5" bottom="0.5" header="0.3" footer="0.3"/>
  <pageSetup scale="87" fitToHeight="0" orientation="portrait" r:id="rId1"/>
  <headerFooter>
    <oddFooter>&amp;L&amp;A&amp;RPage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2060"/>
    <pageSetUpPr fitToPage="1"/>
  </sheetPr>
  <dimension ref="A1:L48"/>
  <sheetViews>
    <sheetView showGridLines="0" zoomScaleNormal="100" workbookViewId="0">
      <selection sqref="A1:K1"/>
    </sheetView>
  </sheetViews>
  <sheetFormatPr defaultRowHeight="15" x14ac:dyDescent="0.25"/>
  <cols>
    <col min="1" max="1" width="14.85546875" style="66" customWidth="1"/>
    <col min="2" max="2" width="16.140625" style="66" customWidth="1"/>
    <col min="3" max="3" width="36" style="66" customWidth="1"/>
    <col min="4" max="4" width="18.85546875" style="66" customWidth="1"/>
    <col min="5" max="5" width="23.7109375" style="66" customWidth="1"/>
    <col min="6" max="12" width="9.7109375" style="64" customWidth="1"/>
    <col min="13" max="257" width="9.140625" style="64"/>
    <col min="258" max="258" width="20" style="64" customWidth="1"/>
    <col min="259" max="259" width="19.28515625" style="64" customWidth="1"/>
    <col min="260" max="260" width="60.140625" style="64" customWidth="1"/>
    <col min="261" max="261" width="25.140625" style="64" customWidth="1"/>
    <col min="262" max="513" width="9.140625" style="64"/>
    <col min="514" max="514" width="20" style="64" customWidth="1"/>
    <col min="515" max="515" width="19.28515625" style="64" customWidth="1"/>
    <col min="516" max="516" width="60.140625" style="64" customWidth="1"/>
    <col min="517" max="517" width="25.140625" style="64" customWidth="1"/>
    <col min="518" max="769" width="9.140625" style="64"/>
    <col min="770" max="770" width="20" style="64" customWidth="1"/>
    <col min="771" max="771" width="19.28515625" style="64" customWidth="1"/>
    <col min="772" max="772" width="60.140625" style="64" customWidth="1"/>
    <col min="773" max="773" width="25.140625" style="64" customWidth="1"/>
    <col min="774" max="1025" width="9.140625" style="64"/>
    <col min="1026" max="1026" width="20" style="64" customWidth="1"/>
    <col min="1027" max="1027" width="19.28515625" style="64" customWidth="1"/>
    <col min="1028" max="1028" width="60.140625" style="64" customWidth="1"/>
    <col min="1029" max="1029" width="25.140625" style="64" customWidth="1"/>
    <col min="1030" max="1281" width="9.140625" style="64"/>
    <col min="1282" max="1282" width="20" style="64" customWidth="1"/>
    <col min="1283" max="1283" width="19.28515625" style="64" customWidth="1"/>
    <col min="1284" max="1284" width="60.140625" style="64" customWidth="1"/>
    <col min="1285" max="1285" width="25.140625" style="64" customWidth="1"/>
    <col min="1286" max="1537" width="9.140625" style="64"/>
    <col min="1538" max="1538" width="20" style="64" customWidth="1"/>
    <col min="1539" max="1539" width="19.28515625" style="64" customWidth="1"/>
    <col min="1540" max="1540" width="60.140625" style="64" customWidth="1"/>
    <col min="1541" max="1541" width="25.140625" style="64" customWidth="1"/>
    <col min="1542" max="1793" width="9.140625" style="64"/>
    <col min="1794" max="1794" width="20" style="64" customWidth="1"/>
    <col min="1795" max="1795" width="19.28515625" style="64" customWidth="1"/>
    <col min="1796" max="1796" width="60.140625" style="64" customWidth="1"/>
    <col min="1797" max="1797" width="25.140625" style="64" customWidth="1"/>
    <col min="1798" max="2049" width="9.140625" style="64"/>
    <col min="2050" max="2050" width="20" style="64" customWidth="1"/>
    <col min="2051" max="2051" width="19.28515625" style="64" customWidth="1"/>
    <col min="2052" max="2052" width="60.140625" style="64" customWidth="1"/>
    <col min="2053" max="2053" width="25.140625" style="64" customWidth="1"/>
    <col min="2054" max="2305" width="9.140625" style="64"/>
    <col min="2306" max="2306" width="20" style="64" customWidth="1"/>
    <col min="2307" max="2307" width="19.28515625" style="64" customWidth="1"/>
    <col min="2308" max="2308" width="60.140625" style="64" customWidth="1"/>
    <col min="2309" max="2309" width="25.140625" style="64" customWidth="1"/>
    <col min="2310" max="2561" width="9.140625" style="64"/>
    <col min="2562" max="2562" width="20" style="64" customWidth="1"/>
    <col min="2563" max="2563" width="19.28515625" style="64" customWidth="1"/>
    <col min="2564" max="2564" width="60.140625" style="64" customWidth="1"/>
    <col min="2565" max="2565" width="25.140625" style="64" customWidth="1"/>
    <col min="2566" max="2817" width="9.140625" style="64"/>
    <col min="2818" max="2818" width="20" style="64" customWidth="1"/>
    <col min="2819" max="2819" width="19.28515625" style="64" customWidth="1"/>
    <col min="2820" max="2820" width="60.140625" style="64" customWidth="1"/>
    <col min="2821" max="2821" width="25.140625" style="64" customWidth="1"/>
    <col min="2822" max="3073" width="9.140625" style="64"/>
    <col min="3074" max="3074" width="20" style="64" customWidth="1"/>
    <col min="3075" max="3075" width="19.28515625" style="64" customWidth="1"/>
    <col min="3076" max="3076" width="60.140625" style="64" customWidth="1"/>
    <col min="3077" max="3077" width="25.140625" style="64" customWidth="1"/>
    <col min="3078" max="3329" width="9.140625" style="64"/>
    <col min="3330" max="3330" width="20" style="64" customWidth="1"/>
    <col min="3331" max="3331" width="19.28515625" style="64" customWidth="1"/>
    <col min="3332" max="3332" width="60.140625" style="64" customWidth="1"/>
    <col min="3333" max="3333" width="25.140625" style="64" customWidth="1"/>
    <col min="3334" max="3585" width="9.140625" style="64"/>
    <col min="3586" max="3586" width="20" style="64" customWidth="1"/>
    <col min="3587" max="3587" width="19.28515625" style="64" customWidth="1"/>
    <col min="3588" max="3588" width="60.140625" style="64" customWidth="1"/>
    <col min="3589" max="3589" width="25.140625" style="64" customWidth="1"/>
    <col min="3590" max="3841" width="9.140625" style="64"/>
    <col min="3842" max="3842" width="20" style="64" customWidth="1"/>
    <col min="3843" max="3843" width="19.28515625" style="64" customWidth="1"/>
    <col min="3844" max="3844" width="60.140625" style="64" customWidth="1"/>
    <col min="3845" max="3845" width="25.140625" style="64" customWidth="1"/>
    <col min="3846" max="4097" width="9.140625" style="64"/>
    <col min="4098" max="4098" width="20" style="64" customWidth="1"/>
    <col min="4099" max="4099" width="19.28515625" style="64" customWidth="1"/>
    <col min="4100" max="4100" width="60.140625" style="64" customWidth="1"/>
    <col min="4101" max="4101" width="25.140625" style="64" customWidth="1"/>
    <col min="4102" max="4353" width="9.140625" style="64"/>
    <col min="4354" max="4354" width="20" style="64" customWidth="1"/>
    <col min="4355" max="4355" width="19.28515625" style="64" customWidth="1"/>
    <col min="4356" max="4356" width="60.140625" style="64" customWidth="1"/>
    <col min="4357" max="4357" width="25.140625" style="64" customWidth="1"/>
    <col min="4358" max="4609" width="9.140625" style="64"/>
    <col min="4610" max="4610" width="20" style="64" customWidth="1"/>
    <col min="4611" max="4611" width="19.28515625" style="64" customWidth="1"/>
    <col min="4612" max="4612" width="60.140625" style="64" customWidth="1"/>
    <col min="4613" max="4613" width="25.140625" style="64" customWidth="1"/>
    <col min="4614" max="4865" width="9.140625" style="64"/>
    <col min="4866" max="4866" width="20" style="64" customWidth="1"/>
    <col min="4867" max="4867" width="19.28515625" style="64" customWidth="1"/>
    <col min="4868" max="4868" width="60.140625" style="64" customWidth="1"/>
    <col min="4869" max="4869" width="25.140625" style="64" customWidth="1"/>
    <col min="4870" max="5121" width="9.140625" style="64"/>
    <col min="5122" max="5122" width="20" style="64" customWidth="1"/>
    <col min="5123" max="5123" width="19.28515625" style="64" customWidth="1"/>
    <col min="5124" max="5124" width="60.140625" style="64" customWidth="1"/>
    <col min="5125" max="5125" width="25.140625" style="64" customWidth="1"/>
    <col min="5126" max="5377" width="9.140625" style="64"/>
    <col min="5378" max="5378" width="20" style="64" customWidth="1"/>
    <col min="5379" max="5379" width="19.28515625" style="64" customWidth="1"/>
    <col min="5380" max="5380" width="60.140625" style="64" customWidth="1"/>
    <col min="5381" max="5381" width="25.140625" style="64" customWidth="1"/>
    <col min="5382" max="5633" width="9.140625" style="64"/>
    <col min="5634" max="5634" width="20" style="64" customWidth="1"/>
    <col min="5635" max="5635" width="19.28515625" style="64" customWidth="1"/>
    <col min="5636" max="5636" width="60.140625" style="64" customWidth="1"/>
    <col min="5637" max="5637" width="25.140625" style="64" customWidth="1"/>
    <col min="5638" max="5889" width="9.140625" style="64"/>
    <col min="5890" max="5890" width="20" style="64" customWidth="1"/>
    <col min="5891" max="5891" width="19.28515625" style="64" customWidth="1"/>
    <col min="5892" max="5892" width="60.140625" style="64" customWidth="1"/>
    <col min="5893" max="5893" width="25.140625" style="64" customWidth="1"/>
    <col min="5894" max="6145" width="9.140625" style="64"/>
    <col min="6146" max="6146" width="20" style="64" customWidth="1"/>
    <col min="6147" max="6147" width="19.28515625" style="64" customWidth="1"/>
    <col min="6148" max="6148" width="60.140625" style="64" customWidth="1"/>
    <col min="6149" max="6149" width="25.140625" style="64" customWidth="1"/>
    <col min="6150" max="6401" width="9.140625" style="64"/>
    <col min="6402" max="6402" width="20" style="64" customWidth="1"/>
    <col min="6403" max="6403" width="19.28515625" style="64" customWidth="1"/>
    <col min="6404" max="6404" width="60.140625" style="64" customWidth="1"/>
    <col min="6405" max="6405" width="25.140625" style="64" customWidth="1"/>
    <col min="6406" max="6657" width="9.140625" style="64"/>
    <col min="6658" max="6658" width="20" style="64" customWidth="1"/>
    <col min="6659" max="6659" width="19.28515625" style="64" customWidth="1"/>
    <col min="6660" max="6660" width="60.140625" style="64" customWidth="1"/>
    <col min="6661" max="6661" width="25.140625" style="64" customWidth="1"/>
    <col min="6662" max="6913" width="9.140625" style="64"/>
    <col min="6914" max="6914" width="20" style="64" customWidth="1"/>
    <col min="6915" max="6915" width="19.28515625" style="64" customWidth="1"/>
    <col min="6916" max="6916" width="60.140625" style="64" customWidth="1"/>
    <col min="6917" max="6917" width="25.140625" style="64" customWidth="1"/>
    <col min="6918" max="7169" width="9.140625" style="64"/>
    <col min="7170" max="7170" width="20" style="64" customWidth="1"/>
    <col min="7171" max="7171" width="19.28515625" style="64" customWidth="1"/>
    <col min="7172" max="7172" width="60.140625" style="64" customWidth="1"/>
    <col min="7173" max="7173" width="25.140625" style="64" customWidth="1"/>
    <col min="7174" max="7425" width="9.140625" style="64"/>
    <col min="7426" max="7426" width="20" style="64" customWidth="1"/>
    <col min="7427" max="7427" width="19.28515625" style="64" customWidth="1"/>
    <col min="7428" max="7428" width="60.140625" style="64" customWidth="1"/>
    <col min="7429" max="7429" width="25.140625" style="64" customWidth="1"/>
    <col min="7430" max="7681" width="9.140625" style="64"/>
    <col min="7682" max="7682" width="20" style="64" customWidth="1"/>
    <col min="7683" max="7683" width="19.28515625" style="64" customWidth="1"/>
    <col min="7684" max="7684" width="60.140625" style="64" customWidth="1"/>
    <col min="7685" max="7685" width="25.140625" style="64" customWidth="1"/>
    <col min="7686" max="7937" width="9.140625" style="64"/>
    <col min="7938" max="7938" width="20" style="64" customWidth="1"/>
    <col min="7939" max="7939" width="19.28515625" style="64" customWidth="1"/>
    <col min="7940" max="7940" width="60.140625" style="64" customWidth="1"/>
    <col min="7941" max="7941" width="25.140625" style="64" customWidth="1"/>
    <col min="7942" max="8193" width="9.140625" style="64"/>
    <col min="8194" max="8194" width="20" style="64" customWidth="1"/>
    <col min="8195" max="8195" width="19.28515625" style="64" customWidth="1"/>
    <col min="8196" max="8196" width="60.140625" style="64" customWidth="1"/>
    <col min="8197" max="8197" width="25.140625" style="64" customWidth="1"/>
    <col min="8198" max="8449" width="9.140625" style="64"/>
    <col min="8450" max="8450" width="20" style="64" customWidth="1"/>
    <col min="8451" max="8451" width="19.28515625" style="64" customWidth="1"/>
    <col min="8452" max="8452" width="60.140625" style="64" customWidth="1"/>
    <col min="8453" max="8453" width="25.140625" style="64" customWidth="1"/>
    <col min="8454" max="8705" width="9.140625" style="64"/>
    <col min="8706" max="8706" width="20" style="64" customWidth="1"/>
    <col min="8707" max="8707" width="19.28515625" style="64" customWidth="1"/>
    <col min="8708" max="8708" width="60.140625" style="64" customWidth="1"/>
    <col min="8709" max="8709" width="25.140625" style="64" customWidth="1"/>
    <col min="8710" max="8961" width="9.140625" style="64"/>
    <col min="8962" max="8962" width="20" style="64" customWidth="1"/>
    <col min="8963" max="8963" width="19.28515625" style="64" customWidth="1"/>
    <col min="8964" max="8964" width="60.140625" style="64" customWidth="1"/>
    <col min="8965" max="8965" width="25.140625" style="64" customWidth="1"/>
    <col min="8966" max="9217" width="9.140625" style="64"/>
    <col min="9218" max="9218" width="20" style="64" customWidth="1"/>
    <col min="9219" max="9219" width="19.28515625" style="64" customWidth="1"/>
    <col min="9220" max="9220" width="60.140625" style="64" customWidth="1"/>
    <col min="9221" max="9221" width="25.140625" style="64" customWidth="1"/>
    <col min="9222" max="9473" width="9.140625" style="64"/>
    <col min="9474" max="9474" width="20" style="64" customWidth="1"/>
    <col min="9475" max="9475" width="19.28515625" style="64" customWidth="1"/>
    <col min="9476" max="9476" width="60.140625" style="64" customWidth="1"/>
    <col min="9477" max="9477" width="25.140625" style="64" customWidth="1"/>
    <col min="9478" max="9729" width="9.140625" style="64"/>
    <col min="9730" max="9730" width="20" style="64" customWidth="1"/>
    <col min="9731" max="9731" width="19.28515625" style="64" customWidth="1"/>
    <col min="9732" max="9732" width="60.140625" style="64" customWidth="1"/>
    <col min="9733" max="9733" width="25.140625" style="64" customWidth="1"/>
    <col min="9734" max="9985" width="9.140625" style="64"/>
    <col min="9986" max="9986" width="20" style="64" customWidth="1"/>
    <col min="9987" max="9987" width="19.28515625" style="64" customWidth="1"/>
    <col min="9988" max="9988" width="60.140625" style="64" customWidth="1"/>
    <col min="9989" max="9989" width="25.140625" style="64" customWidth="1"/>
    <col min="9990" max="10241" width="9.140625" style="64"/>
    <col min="10242" max="10242" width="20" style="64" customWidth="1"/>
    <col min="10243" max="10243" width="19.28515625" style="64" customWidth="1"/>
    <col min="10244" max="10244" width="60.140625" style="64" customWidth="1"/>
    <col min="10245" max="10245" width="25.140625" style="64" customWidth="1"/>
    <col min="10246" max="10497" width="9.140625" style="64"/>
    <col min="10498" max="10498" width="20" style="64" customWidth="1"/>
    <col min="10499" max="10499" width="19.28515625" style="64" customWidth="1"/>
    <col min="10500" max="10500" width="60.140625" style="64" customWidth="1"/>
    <col min="10501" max="10501" width="25.140625" style="64" customWidth="1"/>
    <col min="10502" max="10753" width="9.140625" style="64"/>
    <col min="10754" max="10754" width="20" style="64" customWidth="1"/>
    <col min="10755" max="10755" width="19.28515625" style="64" customWidth="1"/>
    <col min="10756" max="10756" width="60.140625" style="64" customWidth="1"/>
    <col min="10757" max="10757" width="25.140625" style="64" customWidth="1"/>
    <col min="10758" max="11009" width="9.140625" style="64"/>
    <col min="11010" max="11010" width="20" style="64" customWidth="1"/>
    <col min="11011" max="11011" width="19.28515625" style="64" customWidth="1"/>
    <col min="11012" max="11012" width="60.140625" style="64" customWidth="1"/>
    <col min="11013" max="11013" width="25.140625" style="64" customWidth="1"/>
    <col min="11014" max="11265" width="9.140625" style="64"/>
    <col min="11266" max="11266" width="20" style="64" customWidth="1"/>
    <col min="11267" max="11267" width="19.28515625" style="64" customWidth="1"/>
    <col min="11268" max="11268" width="60.140625" style="64" customWidth="1"/>
    <col min="11269" max="11269" width="25.140625" style="64" customWidth="1"/>
    <col min="11270" max="11521" width="9.140625" style="64"/>
    <col min="11522" max="11522" width="20" style="64" customWidth="1"/>
    <col min="11523" max="11523" width="19.28515625" style="64" customWidth="1"/>
    <col min="11524" max="11524" width="60.140625" style="64" customWidth="1"/>
    <col min="11525" max="11525" width="25.140625" style="64" customWidth="1"/>
    <col min="11526" max="11777" width="9.140625" style="64"/>
    <col min="11778" max="11778" width="20" style="64" customWidth="1"/>
    <col min="11779" max="11779" width="19.28515625" style="64" customWidth="1"/>
    <col min="11780" max="11780" width="60.140625" style="64" customWidth="1"/>
    <col min="11781" max="11781" width="25.140625" style="64" customWidth="1"/>
    <col min="11782" max="12033" width="9.140625" style="64"/>
    <col min="12034" max="12034" width="20" style="64" customWidth="1"/>
    <col min="12035" max="12035" width="19.28515625" style="64" customWidth="1"/>
    <col min="12036" max="12036" width="60.140625" style="64" customWidth="1"/>
    <col min="12037" max="12037" width="25.140625" style="64" customWidth="1"/>
    <col min="12038" max="12289" width="9.140625" style="64"/>
    <col min="12290" max="12290" width="20" style="64" customWidth="1"/>
    <col min="12291" max="12291" width="19.28515625" style="64" customWidth="1"/>
    <col min="12292" max="12292" width="60.140625" style="64" customWidth="1"/>
    <col min="12293" max="12293" width="25.140625" style="64" customWidth="1"/>
    <col min="12294" max="12545" width="9.140625" style="64"/>
    <col min="12546" max="12546" width="20" style="64" customWidth="1"/>
    <col min="12547" max="12547" width="19.28515625" style="64" customWidth="1"/>
    <col min="12548" max="12548" width="60.140625" style="64" customWidth="1"/>
    <col min="12549" max="12549" width="25.140625" style="64" customWidth="1"/>
    <col min="12550" max="12801" width="9.140625" style="64"/>
    <col min="12802" max="12802" width="20" style="64" customWidth="1"/>
    <col min="12803" max="12803" width="19.28515625" style="64" customWidth="1"/>
    <col min="12804" max="12804" width="60.140625" style="64" customWidth="1"/>
    <col min="12805" max="12805" width="25.140625" style="64" customWidth="1"/>
    <col min="12806" max="13057" width="9.140625" style="64"/>
    <col min="13058" max="13058" width="20" style="64" customWidth="1"/>
    <col min="13059" max="13059" width="19.28515625" style="64" customWidth="1"/>
    <col min="13060" max="13060" width="60.140625" style="64" customWidth="1"/>
    <col min="13061" max="13061" width="25.140625" style="64" customWidth="1"/>
    <col min="13062" max="13313" width="9.140625" style="64"/>
    <col min="13314" max="13314" width="20" style="64" customWidth="1"/>
    <col min="13315" max="13315" width="19.28515625" style="64" customWidth="1"/>
    <col min="13316" max="13316" width="60.140625" style="64" customWidth="1"/>
    <col min="13317" max="13317" width="25.140625" style="64" customWidth="1"/>
    <col min="13318" max="13569" width="9.140625" style="64"/>
    <col min="13570" max="13570" width="20" style="64" customWidth="1"/>
    <col min="13571" max="13571" width="19.28515625" style="64" customWidth="1"/>
    <col min="13572" max="13572" width="60.140625" style="64" customWidth="1"/>
    <col min="13573" max="13573" width="25.140625" style="64" customWidth="1"/>
    <col min="13574" max="13825" width="9.140625" style="64"/>
    <col min="13826" max="13826" width="20" style="64" customWidth="1"/>
    <col min="13827" max="13827" width="19.28515625" style="64" customWidth="1"/>
    <col min="13828" max="13828" width="60.140625" style="64" customWidth="1"/>
    <col min="13829" max="13829" width="25.140625" style="64" customWidth="1"/>
    <col min="13830" max="14081" width="9.140625" style="64"/>
    <col min="14082" max="14082" width="20" style="64" customWidth="1"/>
    <col min="14083" max="14083" width="19.28515625" style="64" customWidth="1"/>
    <col min="14084" max="14084" width="60.140625" style="64" customWidth="1"/>
    <col min="14085" max="14085" width="25.140625" style="64" customWidth="1"/>
    <col min="14086" max="14337" width="9.140625" style="64"/>
    <col min="14338" max="14338" width="20" style="64" customWidth="1"/>
    <col min="14339" max="14339" width="19.28515625" style="64" customWidth="1"/>
    <col min="14340" max="14340" width="60.140625" style="64" customWidth="1"/>
    <col min="14341" max="14341" width="25.140625" style="64" customWidth="1"/>
    <col min="14342" max="14593" width="9.140625" style="64"/>
    <col min="14594" max="14594" width="20" style="64" customWidth="1"/>
    <col min="14595" max="14595" width="19.28515625" style="64" customWidth="1"/>
    <col min="14596" max="14596" width="60.140625" style="64" customWidth="1"/>
    <col min="14597" max="14597" width="25.140625" style="64" customWidth="1"/>
    <col min="14598" max="14849" width="9.140625" style="64"/>
    <col min="14850" max="14850" width="20" style="64" customWidth="1"/>
    <col min="14851" max="14851" width="19.28515625" style="64" customWidth="1"/>
    <col min="14852" max="14852" width="60.140625" style="64" customWidth="1"/>
    <col min="14853" max="14853" width="25.140625" style="64" customWidth="1"/>
    <col min="14854" max="15105" width="9.140625" style="64"/>
    <col min="15106" max="15106" width="20" style="64" customWidth="1"/>
    <col min="15107" max="15107" width="19.28515625" style="64" customWidth="1"/>
    <col min="15108" max="15108" width="60.140625" style="64" customWidth="1"/>
    <col min="15109" max="15109" width="25.140625" style="64" customWidth="1"/>
    <col min="15110" max="15361" width="9.140625" style="64"/>
    <col min="15362" max="15362" width="20" style="64" customWidth="1"/>
    <col min="15363" max="15363" width="19.28515625" style="64" customWidth="1"/>
    <col min="15364" max="15364" width="60.140625" style="64" customWidth="1"/>
    <col min="15365" max="15365" width="25.140625" style="64" customWidth="1"/>
    <col min="15366" max="15617" width="9.140625" style="64"/>
    <col min="15618" max="15618" width="20" style="64" customWidth="1"/>
    <col min="15619" max="15619" width="19.28515625" style="64" customWidth="1"/>
    <col min="15620" max="15620" width="60.140625" style="64" customWidth="1"/>
    <col min="15621" max="15621" width="25.140625" style="64" customWidth="1"/>
    <col min="15622" max="15873" width="9.140625" style="64"/>
    <col min="15874" max="15874" width="20" style="64" customWidth="1"/>
    <col min="15875" max="15875" width="19.28515625" style="64" customWidth="1"/>
    <col min="15876" max="15876" width="60.140625" style="64" customWidth="1"/>
    <col min="15877" max="15877" width="25.140625" style="64" customWidth="1"/>
    <col min="15878" max="16129" width="9.140625" style="64"/>
    <col min="16130" max="16130" width="20" style="64" customWidth="1"/>
    <col min="16131" max="16131" width="19.28515625" style="64" customWidth="1"/>
    <col min="16132" max="16132" width="60.140625" style="64" customWidth="1"/>
    <col min="16133" max="16133" width="25.140625" style="64" customWidth="1"/>
    <col min="16134" max="16384" width="9.140625" style="64"/>
  </cols>
  <sheetData>
    <row r="1" spans="1:12" s="69" customFormat="1" ht="26.25" customHeight="1" thickBot="1" x14ac:dyDescent="0.3">
      <c r="A1" s="1255" t="s">
        <v>1704</v>
      </c>
      <c r="B1" s="1255"/>
      <c r="C1" s="1255"/>
      <c r="D1" s="1255"/>
      <c r="E1" s="1255"/>
      <c r="F1" s="1255"/>
      <c r="G1" s="1255"/>
      <c r="H1" s="1255"/>
      <c r="I1" s="1255"/>
      <c r="J1" s="1255"/>
      <c r="K1" s="1255"/>
      <c r="L1" s="79"/>
    </row>
    <row r="2" spans="1:12" s="68" customFormat="1" ht="24.95" customHeight="1" x14ac:dyDescent="0.25">
      <c r="A2" s="1257" t="s">
        <v>1830</v>
      </c>
      <c r="B2" s="1257"/>
      <c r="C2" s="1257"/>
      <c r="D2" s="1257"/>
      <c r="E2" s="1257"/>
      <c r="F2" s="1257"/>
      <c r="G2" s="1257"/>
      <c r="H2" s="1257"/>
      <c r="I2" s="1257"/>
      <c r="J2" s="1257"/>
      <c r="K2" s="1257"/>
    </row>
    <row r="3" spans="1:12" ht="54.95" customHeight="1" thickBot="1" x14ac:dyDescent="0.3">
      <c r="A3" s="1204" t="s">
        <v>1832</v>
      </c>
      <c r="B3" s="1204"/>
      <c r="C3" s="1204"/>
      <c r="D3" s="1204"/>
      <c r="E3" s="1204"/>
      <c r="F3" s="1204"/>
      <c r="G3" s="1204"/>
      <c r="H3" s="1204"/>
      <c r="I3" s="1204"/>
      <c r="J3" s="1204"/>
      <c r="K3" s="1204"/>
    </row>
    <row r="4" spans="1:12" s="77" customFormat="1" ht="19.5" thickBot="1" x14ac:dyDescent="0.3">
      <c r="A4" s="1211" t="s">
        <v>1422</v>
      </c>
      <c r="B4" s="1211"/>
      <c r="C4" s="1211"/>
      <c r="D4" s="1211"/>
      <c r="E4" s="1211"/>
      <c r="F4" s="1211"/>
      <c r="G4" s="1211"/>
      <c r="H4" s="1211"/>
      <c r="I4" s="1211"/>
      <c r="J4" s="1211"/>
      <c r="K4" s="1211"/>
    </row>
    <row r="5" spans="1:12" ht="60" customHeight="1" x14ac:dyDescent="0.25">
      <c r="A5" s="1"/>
      <c r="B5" s="1"/>
      <c r="C5" s="1"/>
      <c r="D5" s="1"/>
      <c r="E5" s="1"/>
    </row>
    <row r="6" spans="1:12" s="65" customFormat="1" ht="24.95" customHeight="1" x14ac:dyDescent="0.25">
      <c r="A6" s="1213" t="s">
        <v>1399</v>
      </c>
      <c r="B6" s="1213"/>
      <c r="C6" s="1213"/>
      <c r="D6" s="1213"/>
      <c r="E6" s="1213"/>
    </row>
    <row r="7" spans="1:12" ht="24.95" customHeight="1" thickBot="1" x14ac:dyDescent="0.3">
      <c r="A7" s="1218" t="s">
        <v>1741</v>
      </c>
      <c r="B7" s="1218"/>
      <c r="C7" s="1218"/>
      <c r="D7" s="1218"/>
      <c r="E7" s="843" t="str">
        <f>"Ver."&amp;" "&amp;TEXT(Introduction!$M$3,"MM/YYYY")</f>
        <v>Ver. 01/2025</v>
      </c>
    </row>
    <row r="8" spans="1:12" ht="28.7" customHeight="1" thickBot="1" x14ac:dyDescent="0.3">
      <c r="A8" s="798" t="s">
        <v>1400</v>
      </c>
      <c r="B8" s="799" t="s">
        <v>1401</v>
      </c>
      <c r="C8" s="799" t="s">
        <v>1402</v>
      </c>
      <c r="D8" s="799" t="s">
        <v>1403</v>
      </c>
      <c r="E8" s="799" t="s">
        <v>1404</v>
      </c>
    </row>
    <row r="9" spans="1:12" ht="18" customHeight="1" x14ac:dyDescent="0.25">
      <c r="A9" s="298"/>
      <c r="B9" s="299"/>
      <c r="C9" s="300"/>
      <c r="D9" s="301"/>
      <c r="E9" s="287"/>
    </row>
    <row r="10" spans="1:12" ht="18" customHeight="1" x14ac:dyDescent="0.25">
      <c r="A10" s="289"/>
      <c r="B10" s="290"/>
      <c r="C10" s="291"/>
      <c r="D10" s="292"/>
      <c r="E10" s="288"/>
    </row>
    <row r="11" spans="1:12" ht="18" customHeight="1" x14ac:dyDescent="0.25">
      <c r="A11" s="289"/>
      <c r="B11" s="290"/>
      <c r="C11" s="291"/>
      <c r="D11" s="292"/>
      <c r="E11" s="288"/>
    </row>
    <row r="12" spans="1:12" ht="18" customHeight="1" x14ac:dyDescent="0.25">
      <c r="A12" s="289"/>
      <c r="B12" s="290"/>
      <c r="C12" s="291"/>
      <c r="D12" s="292"/>
      <c r="E12" s="288"/>
    </row>
    <row r="13" spans="1:12" ht="18" customHeight="1" x14ac:dyDescent="0.25">
      <c r="A13" s="289"/>
      <c r="B13" s="290"/>
      <c r="C13" s="291"/>
      <c r="D13" s="292"/>
      <c r="E13" s="288"/>
    </row>
    <row r="14" spans="1:12" ht="18" customHeight="1" x14ac:dyDescent="0.25">
      <c r="A14" s="289"/>
      <c r="B14" s="290"/>
      <c r="C14" s="291"/>
      <c r="D14" s="292"/>
      <c r="E14" s="288"/>
    </row>
    <row r="15" spans="1:12" ht="18" customHeight="1" x14ac:dyDescent="0.25">
      <c r="A15" s="289"/>
      <c r="B15" s="290"/>
      <c r="C15" s="291"/>
      <c r="D15" s="292"/>
      <c r="E15" s="288"/>
    </row>
    <row r="16" spans="1:12" ht="18" customHeight="1" x14ac:dyDescent="0.25">
      <c r="A16" s="289"/>
      <c r="B16" s="290"/>
      <c r="C16" s="291"/>
      <c r="D16" s="292"/>
      <c r="E16" s="288"/>
    </row>
    <row r="17" spans="1:5" ht="18" customHeight="1" x14ac:dyDescent="0.25">
      <c r="A17" s="289"/>
      <c r="B17" s="290"/>
      <c r="C17" s="291"/>
      <c r="D17" s="292"/>
      <c r="E17" s="288"/>
    </row>
    <row r="18" spans="1:5" ht="18" customHeight="1" x14ac:dyDescent="0.25">
      <c r="A18" s="289"/>
      <c r="B18" s="290"/>
      <c r="C18" s="291"/>
      <c r="D18" s="292"/>
      <c r="E18" s="288"/>
    </row>
    <row r="19" spans="1:5" ht="18" customHeight="1" x14ac:dyDescent="0.25">
      <c r="A19" s="289"/>
      <c r="B19" s="290"/>
      <c r="C19" s="291"/>
      <c r="D19" s="292"/>
      <c r="E19" s="288"/>
    </row>
    <row r="20" spans="1:5" ht="18" customHeight="1" x14ac:dyDescent="0.25">
      <c r="A20" s="289"/>
      <c r="B20" s="290"/>
      <c r="C20" s="291"/>
      <c r="D20" s="292"/>
      <c r="E20" s="288"/>
    </row>
    <row r="21" spans="1:5" ht="18" customHeight="1" x14ac:dyDescent="0.25">
      <c r="A21" s="289"/>
      <c r="B21" s="290"/>
      <c r="C21" s="291"/>
      <c r="D21" s="292"/>
      <c r="E21" s="288"/>
    </row>
    <row r="22" spans="1:5" ht="18" customHeight="1" x14ac:dyDescent="0.25">
      <c r="A22" s="289"/>
      <c r="B22" s="290"/>
      <c r="C22" s="291"/>
      <c r="D22" s="292"/>
      <c r="E22" s="288"/>
    </row>
    <row r="23" spans="1:5" ht="18" customHeight="1" x14ac:dyDescent="0.25">
      <c r="A23" s="289"/>
      <c r="B23" s="290"/>
      <c r="C23" s="291"/>
      <c r="D23" s="292"/>
      <c r="E23" s="288"/>
    </row>
    <row r="24" spans="1:5" ht="18" customHeight="1" x14ac:dyDescent="0.25">
      <c r="A24" s="289"/>
      <c r="B24" s="290"/>
      <c r="C24" s="291"/>
      <c r="D24" s="292"/>
      <c r="E24" s="288"/>
    </row>
    <row r="25" spans="1:5" ht="18" customHeight="1" x14ac:dyDescent="0.25">
      <c r="A25" s="289"/>
      <c r="B25" s="290"/>
      <c r="C25" s="291"/>
      <c r="D25" s="292"/>
      <c r="E25" s="288"/>
    </row>
    <row r="26" spans="1:5" ht="18" customHeight="1" x14ac:dyDescent="0.25">
      <c r="A26" s="289"/>
      <c r="B26" s="290"/>
      <c r="C26" s="291"/>
      <c r="D26" s="292"/>
      <c r="E26" s="288"/>
    </row>
    <row r="27" spans="1:5" ht="18" customHeight="1" x14ac:dyDescent="0.25">
      <c r="A27" s="289"/>
      <c r="B27" s="290"/>
      <c r="C27" s="291"/>
      <c r="D27" s="292"/>
      <c r="E27" s="288"/>
    </row>
    <row r="28" spans="1:5" ht="18" customHeight="1" x14ac:dyDescent="0.25">
      <c r="A28" s="289"/>
      <c r="B28" s="290"/>
      <c r="C28" s="291"/>
      <c r="D28" s="292"/>
      <c r="E28" s="288"/>
    </row>
    <row r="29" spans="1:5" ht="18" customHeight="1" x14ac:dyDescent="0.25">
      <c r="A29" s="289"/>
      <c r="B29" s="290"/>
      <c r="C29" s="291"/>
      <c r="D29" s="292"/>
      <c r="E29" s="288"/>
    </row>
    <row r="30" spans="1:5" ht="18" customHeight="1" x14ac:dyDescent="0.25">
      <c r="A30" s="289"/>
      <c r="B30" s="290"/>
      <c r="C30" s="291"/>
      <c r="D30" s="292"/>
      <c r="E30" s="288"/>
    </row>
    <row r="31" spans="1:5" ht="18" customHeight="1" x14ac:dyDescent="0.25">
      <c r="A31" s="289"/>
      <c r="B31" s="290"/>
      <c r="C31" s="291"/>
      <c r="D31" s="292"/>
      <c r="E31" s="288"/>
    </row>
    <row r="32" spans="1:5" ht="18" customHeight="1" x14ac:dyDescent="0.25">
      <c r="A32" s="289"/>
      <c r="B32" s="290"/>
      <c r="C32" s="291"/>
      <c r="D32" s="292"/>
      <c r="E32" s="288"/>
    </row>
    <row r="33" spans="1:5" ht="18" customHeight="1" x14ac:dyDescent="0.25">
      <c r="A33" s="289"/>
      <c r="B33" s="290"/>
      <c r="C33" s="291"/>
      <c r="D33" s="292"/>
      <c r="E33" s="288"/>
    </row>
    <row r="34" spans="1:5" ht="18" customHeight="1" x14ac:dyDescent="0.25">
      <c r="A34" s="289"/>
      <c r="B34" s="290"/>
      <c r="C34" s="291"/>
      <c r="D34" s="292"/>
      <c r="E34" s="288"/>
    </row>
    <row r="35" spans="1:5" ht="18" customHeight="1" x14ac:dyDescent="0.25">
      <c r="A35" s="289"/>
      <c r="B35" s="290"/>
      <c r="C35" s="291"/>
      <c r="D35" s="292"/>
      <c r="E35" s="288"/>
    </row>
    <row r="36" spans="1:5" ht="18" customHeight="1" x14ac:dyDescent="0.25">
      <c r="A36" s="289"/>
      <c r="B36" s="290"/>
      <c r="C36" s="291"/>
      <c r="D36" s="292"/>
      <c r="E36" s="288"/>
    </row>
    <row r="37" spans="1:5" ht="18" customHeight="1" x14ac:dyDescent="0.25">
      <c r="A37" s="289"/>
      <c r="B37" s="290"/>
      <c r="C37" s="291"/>
      <c r="D37" s="292"/>
      <c r="E37" s="288"/>
    </row>
    <row r="38" spans="1:5" ht="18" customHeight="1" x14ac:dyDescent="0.25">
      <c r="A38" s="289"/>
      <c r="B38" s="290"/>
      <c r="C38" s="291"/>
      <c r="D38" s="292"/>
      <c r="E38" s="288"/>
    </row>
    <row r="39" spans="1:5" ht="18" customHeight="1" x14ac:dyDescent="0.25">
      <c r="A39" s="289"/>
      <c r="B39" s="290"/>
      <c r="C39" s="291"/>
      <c r="D39" s="292"/>
      <c r="E39" s="288"/>
    </row>
    <row r="40" spans="1:5" ht="18" customHeight="1" x14ac:dyDescent="0.25">
      <c r="A40" s="289"/>
      <c r="B40" s="290"/>
      <c r="C40" s="291"/>
      <c r="D40" s="292"/>
      <c r="E40" s="288"/>
    </row>
    <row r="41" spans="1:5" ht="18" customHeight="1" x14ac:dyDescent="0.25">
      <c r="A41" s="289"/>
      <c r="B41" s="290"/>
      <c r="C41" s="291"/>
      <c r="D41" s="292"/>
      <c r="E41" s="288"/>
    </row>
    <row r="42" spans="1:5" ht="18" customHeight="1" x14ac:dyDescent="0.25">
      <c r="A42" s="289"/>
      <c r="B42" s="290"/>
      <c r="C42" s="291"/>
      <c r="D42" s="292"/>
      <c r="E42" s="288"/>
    </row>
    <row r="43" spans="1:5" ht="18" customHeight="1" x14ac:dyDescent="0.25">
      <c r="A43" s="289"/>
      <c r="B43" s="290"/>
      <c r="C43" s="291"/>
      <c r="D43" s="292"/>
      <c r="E43" s="288"/>
    </row>
    <row r="44" spans="1:5" ht="18" customHeight="1" x14ac:dyDescent="0.25">
      <c r="A44" s="289"/>
      <c r="B44" s="290"/>
      <c r="C44" s="291"/>
      <c r="D44" s="292"/>
      <c r="E44" s="288"/>
    </row>
    <row r="45" spans="1:5" ht="18" customHeight="1" x14ac:dyDescent="0.25">
      <c r="A45" s="289"/>
      <c r="B45" s="290"/>
      <c r="C45" s="291"/>
      <c r="D45" s="292"/>
      <c r="E45" s="288"/>
    </row>
    <row r="46" spans="1:5" ht="18" customHeight="1" x14ac:dyDescent="0.25">
      <c r="A46" s="289"/>
      <c r="B46" s="290"/>
      <c r="C46" s="291"/>
      <c r="D46" s="292"/>
      <c r="E46" s="288"/>
    </row>
    <row r="47" spans="1:5" ht="18" customHeight="1" x14ac:dyDescent="0.25">
      <c r="A47" s="289"/>
      <c r="B47" s="290"/>
      <c r="C47" s="291"/>
      <c r="D47" s="292"/>
      <c r="E47" s="288"/>
    </row>
    <row r="48" spans="1:5" ht="18" customHeight="1" thickBot="1" x14ac:dyDescent="0.3">
      <c r="A48" s="293"/>
      <c r="B48" s="294"/>
      <c r="C48" s="295"/>
      <c r="D48" s="296"/>
      <c r="E48" s="297"/>
    </row>
  </sheetData>
  <sheetProtection algorithmName="SHA-512" hashValue="spTWRAFXB3IRJqwTWH6WHiroh8U3GhN5/as7t6ovqGr5eKiH68JlGdsa8xkNCS0VKufUqdTuHObb6cR4Ew7UDQ==" saltValue="YO9ZBHvQCQnuyRK4wk/rEg==" spinCount="100000" sheet="1" objects="1" scenarios="1"/>
  <dataConsolidate/>
  <mergeCells count="6">
    <mergeCell ref="A7:D7"/>
    <mergeCell ref="A1:K1"/>
    <mergeCell ref="A3:K3"/>
    <mergeCell ref="A2:K2"/>
    <mergeCell ref="A6:E6"/>
    <mergeCell ref="A4:K4"/>
  </mergeCells>
  <conditionalFormatting sqref="B9:E48">
    <cfRule type="expression" dxfId="152" priority="1">
      <formula>AND(NOT(ISBLANK($A9)),ISBLANK(B9))</formula>
    </cfRule>
  </conditionalFormatting>
  <conditionalFormatting sqref="D9:E48">
    <cfRule type="expression" dxfId="151" priority="2">
      <formula>ISTEXT(D9)</formula>
    </cfRule>
  </conditionalFormatting>
  <printOptions horizontalCentered="1"/>
  <pageMargins left="0.5" right="0.5" top="0.5" bottom="0.5" header="0.3" footer="0.3"/>
  <pageSetup scale="87" fitToHeight="0" orientation="portrait" r:id="rId1"/>
  <headerFooter>
    <oddFooter>&amp;L&amp;A&amp;RPage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002060"/>
    <pageSetUpPr fitToPage="1"/>
  </sheetPr>
  <dimension ref="A1:L51"/>
  <sheetViews>
    <sheetView showGridLines="0" zoomScaleNormal="100" workbookViewId="0">
      <selection sqref="A1:L1"/>
    </sheetView>
  </sheetViews>
  <sheetFormatPr defaultRowHeight="15" x14ac:dyDescent="0.25"/>
  <cols>
    <col min="1" max="1" width="14.85546875" style="66" customWidth="1"/>
    <col min="2" max="7" width="16.7109375" style="66" customWidth="1"/>
    <col min="8" max="13" width="9.7109375" style="64" customWidth="1"/>
    <col min="14" max="259" width="9.140625" style="64"/>
    <col min="260" max="260" width="20" style="64" customWidth="1"/>
    <col min="261" max="261" width="19.28515625" style="64" customWidth="1"/>
    <col min="262" max="262" width="60.140625" style="64" customWidth="1"/>
    <col min="263" max="263" width="25.140625" style="64" customWidth="1"/>
    <col min="264" max="515" width="9.140625" style="64"/>
    <col min="516" max="516" width="20" style="64" customWidth="1"/>
    <col min="517" max="517" width="19.28515625" style="64" customWidth="1"/>
    <col min="518" max="518" width="60.140625" style="64" customWidth="1"/>
    <col min="519" max="519" width="25.140625" style="64" customWidth="1"/>
    <col min="520" max="771" width="9.140625" style="64"/>
    <col min="772" max="772" width="20" style="64" customWidth="1"/>
    <col min="773" max="773" width="19.28515625" style="64" customWidth="1"/>
    <col min="774" max="774" width="60.140625" style="64" customWidth="1"/>
    <col min="775" max="775" width="25.140625" style="64" customWidth="1"/>
    <col min="776" max="1027" width="9.140625" style="64"/>
    <col min="1028" max="1028" width="20" style="64" customWidth="1"/>
    <col min="1029" max="1029" width="19.28515625" style="64" customWidth="1"/>
    <col min="1030" max="1030" width="60.140625" style="64" customWidth="1"/>
    <col min="1031" max="1031" width="25.140625" style="64" customWidth="1"/>
    <col min="1032" max="1283" width="9.140625" style="64"/>
    <col min="1284" max="1284" width="20" style="64" customWidth="1"/>
    <col min="1285" max="1285" width="19.28515625" style="64" customWidth="1"/>
    <col min="1286" max="1286" width="60.140625" style="64" customWidth="1"/>
    <col min="1287" max="1287" width="25.140625" style="64" customWidth="1"/>
    <col min="1288" max="1539" width="9.140625" style="64"/>
    <col min="1540" max="1540" width="20" style="64" customWidth="1"/>
    <col min="1541" max="1541" width="19.28515625" style="64" customWidth="1"/>
    <col min="1542" max="1542" width="60.140625" style="64" customWidth="1"/>
    <col min="1543" max="1543" width="25.140625" style="64" customWidth="1"/>
    <col min="1544" max="1795" width="9.140625" style="64"/>
    <col min="1796" max="1796" width="20" style="64" customWidth="1"/>
    <col min="1797" max="1797" width="19.28515625" style="64" customWidth="1"/>
    <col min="1798" max="1798" width="60.140625" style="64" customWidth="1"/>
    <col min="1799" max="1799" width="25.140625" style="64" customWidth="1"/>
    <col min="1800" max="2051" width="9.140625" style="64"/>
    <col min="2052" max="2052" width="20" style="64" customWidth="1"/>
    <col min="2053" max="2053" width="19.28515625" style="64" customWidth="1"/>
    <col min="2054" max="2054" width="60.140625" style="64" customWidth="1"/>
    <col min="2055" max="2055" width="25.140625" style="64" customWidth="1"/>
    <col min="2056" max="2307" width="9.140625" style="64"/>
    <col min="2308" max="2308" width="20" style="64" customWidth="1"/>
    <col min="2309" max="2309" width="19.28515625" style="64" customWidth="1"/>
    <col min="2310" max="2310" width="60.140625" style="64" customWidth="1"/>
    <col min="2311" max="2311" width="25.140625" style="64" customWidth="1"/>
    <col min="2312" max="2563" width="9.140625" style="64"/>
    <col min="2564" max="2564" width="20" style="64" customWidth="1"/>
    <col min="2565" max="2565" width="19.28515625" style="64" customWidth="1"/>
    <col min="2566" max="2566" width="60.140625" style="64" customWidth="1"/>
    <col min="2567" max="2567" width="25.140625" style="64" customWidth="1"/>
    <col min="2568" max="2819" width="9.140625" style="64"/>
    <col min="2820" max="2820" width="20" style="64" customWidth="1"/>
    <col min="2821" max="2821" width="19.28515625" style="64" customWidth="1"/>
    <col min="2822" max="2822" width="60.140625" style="64" customWidth="1"/>
    <col min="2823" max="2823" width="25.140625" style="64" customWidth="1"/>
    <col min="2824" max="3075" width="9.140625" style="64"/>
    <col min="3076" max="3076" width="20" style="64" customWidth="1"/>
    <col min="3077" max="3077" width="19.28515625" style="64" customWidth="1"/>
    <col min="3078" max="3078" width="60.140625" style="64" customWidth="1"/>
    <col min="3079" max="3079" width="25.140625" style="64" customWidth="1"/>
    <col min="3080" max="3331" width="9.140625" style="64"/>
    <col min="3332" max="3332" width="20" style="64" customWidth="1"/>
    <col min="3333" max="3333" width="19.28515625" style="64" customWidth="1"/>
    <col min="3334" max="3334" width="60.140625" style="64" customWidth="1"/>
    <col min="3335" max="3335" width="25.140625" style="64" customWidth="1"/>
    <col min="3336" max="3587" width="9.140625" style="64"/>
    <col min="3588" max="3588" width="20" style="64" customWidth="1"/>
    <col min="3589" max="3589" width="19.28515625" style="64" customWidth="1"/>
    <col min="3590" max="3590" width="60.140625" style="64" customWidth="1"/>
    <col min="3591" max="3591" width="25.140625" style="64" customWidth="1"/>
    <col min="3592" max="3843" width="9.140625" style="64"/>
    <col min="3844" max="3844" width="20" style="64" customWidth="1"/>
    <col min="3845" max="3845" width="19.28515625" style="64" customWidth="1"/>
    <col min="3846" max="3846" width="60.140625" style="64" customWidth="1"/>
    <col min="3847" max="3847" width="25.140625" style="64" customWidth="1"/>
    <col min="3848" max="4099" width="9.140625" style="64"/>
    <col min="4100" max="4100" width="20" style="64" customWidth="1"/>
    <col min="4101" max="4101" width="19.28515625" style="64" customWidth="1"/>
    <col min="4102" max="4102" width="60.140625" style="64" customWidth="1"/>
    <col min="4103" max="4103" width="25.140625" style="64" customWidth="1"/>
    <col min="4104" max="4355" width="9.140625" style="64"/>
    <col min="4356" max="4356" width="20" style="64" customWidth="1"/>
    <col min="4357" max="4357" width="19.28515625" style="64" customWidth="1"/>
    <col min="4358" max="4358" width="60.140625" style="64" customWidth="1"/>
    <col min="4359" max="4359" width="25.140625" style="64" customWidth="1"/>
    <col min="4360" max="4611" width="9.140625" style="64"/>
    <col min="4612" max="4612" width="20" style="64" customWidth="1"/>
    <col min="4613" max="4613" width="19.28515625" style="64" customWidth="1"/>
    <col min="4614" max="4614" width="60.140625" style="64" customWidth="1"/>
    <col min="4615" max="4615" width="25.140625" style="64" customWidth="1"/>
    <col min="4616" max="4867" width="9.140625" style="64"/>
    <col min="4868" max="4868" width="20" style="64" customWidth="1"/>
    <col min="4869" max="4869" width="19.28515625" style="64" customWidth="1"/>
    <col min="4870" max="4870" width="60.140625" style="64" customWidth="1"/>
    <col min="4871" max="4871" width="25.140625" style="64" customWidth="1"/>
    <col min="4872" max="5123" width="9.140625" style="64"/>
    <col min="5124" max="5124" width="20" style="64" customWidth="1"/>
    <col min="5125" max="5125" width="19.28515625" style="64" customWidth="1"/>
    <col min="5126" max="5126" width="60.140625" style="64" customWidth="1"/>
    <col min="5127" max="5127" width="25.140625" style="64" customWidth="1"/>
    <col min="5128" max="5379" width="9.140625" style="64"/>
    <col min="5380" max="5380" width="20" style="64" customWidth="1"/>
    <col min="5381" max="5381" width="19.28515625" style="64" customWidth="1"/>
    <col min="5382" max="5382" width="60.140625" style="64" customWidth="1"/>
    <col min="5383" max="5383" width="25.140625" style="64" customWidth="1"/>
    <col min="5384" max="5635" width="9.140625" style="64"/>
    <col min="5636" max="5636" width="20" style="64" customWidth="1"/>
    <col min="5637" max="5637" width="19.28515625" style="64" customWidth="1"/>
    <col min="5638" max="5638" width="60.140625" style="64" customWidth="1"/>
    <col min="5639" max="5639" width="25.140625" style="64" customWidth="1"/>
    <col min="5640" max="5891" width="9.140625" style="64"/>
    <col min="5892" max="5892" width="20" style="64" customWidth="1"/>
    <col min="5893" max="5893" width="19.28515625" style="64" customWidth="1"/>
    <col min="5894" max="5894" width="60.140625" style="64" customWidth="1"/>
    <col min="5895" max="5895" width="25.140625" style="64" customWidth="1"/>
    <col min="5896" max="6147" width="9.140625" style="64"/>
    <col min="6148" max="6148" width="20" style="64" customWidth="1"/>
    <col min="6149" max="6149" width="19.28515625" style="64" customWidth="1"/>
    <col min="6150" max="6150" width="60.140625" style="64" customWidth="1"/>
    <col min="6151" max="6151" width="25.140625" style="64" customWidth="1"/>
    <col min="6152" max="6403" width="9.140625" style="64"/>
    <col min="6404" max="6404" width="20" style="64" customWidth="1"/>
    <col min="6405" max="6405" width="19.28515625" style="64" customWidth="1"/>
    <col min="6406" max="6406" width="60.140625" style="64" customWidth="1"/>
    <col min="6407" max="6407" width="25.140625" style="64" customWidth="1"/>
    <col min="6408" max="6659" width="9.140625" style="64"/>
    <col min="6660" max="6660" width="20" style="64" customWidth="1"/>
    <col min="6661" max="6661" width="19.28515625" style="64" customWidth="1"/>
    <col min="6662" max="6662" width="60.140625" style="64" customWidth="1"/>
    <col min="6663" max="6663" width="25.140625" style="64" customWidth="1"/>
    <col min="6664" max="6915" width="9.140625" style="64"/>
    <col min="6916" max="6916" width="20" style="64" customWidth="1"/>
    <col min="6917" max="6917" width="19.28515625" style="64" customWidth="1"/>
    <col min="6918" max="6918" width="60.140625" style="64" customWidth="1"/>
    <col min="6919" max="6919" width="25.140625" style="64" customWidth="1"/>
    <col min="6920" max="7171" width="9.140625" style="64"/>
    <col min="7172" max="7172" width="20" style="64" customWidth="1"/>
    <col min="7173" max="7173" width="19.28515625" style="64" customWidth="1"/>
    <col min="7174" max="7174" width="60.140625" style="64" customWidth="1"/>
    <col min="7175" max="7175" width="25.140625" style="64" customWidth="1"/>
    <col min="7176" max="7427" width="9.140625" style="64"/>
    <col min="7428" max="7428" width="20" style="64" customWidth="1"/>
    <col min="7429" max="7429" width="19.28515625" style="64" customWidth="1"/>
    <col min="7430" max="7430" width="60.140625" style="64" customWidth="1"/>
    <col min="7431" max="7431" width="25.140625" style="64" customWidth="1"/>
    <col min="7432" max="7683" width="9.140625" style="64"/>
    <col min="7684" max="7684" width="20" style="64" customWidth="1"/>
    <col min="7685" max="7685" width="19.28515625" style="64" customWidth="1"/>
    <col min="7686" max="7686" width="60.140625" style="64" customWidth="1"/>
    <col min="7687" max="7687" width="25.140625" style="64" customWidth="1"/>
    <col min="7688" max="7939" width="9.140625" style="64"/>
    <col min="7940" max="7940" width="20" style="64" customWidth="1"/>
    <col min="7941" max="7941" width="19.28515625" style="64" customWidth="1"/>
    <col min="7942" max="7942" width="60.140625" style="64" customWidth="1"/>
    <col min="7943" max="7943" width="25.140625" style="64" customWidth="1"/>
    <col min="7944" max="8195" width="9.140625" style="64"/>
    <col min="8196" max="8196" width="20" style="64" customWidth="1"/>
    <col min="8197" max="8197" width="19.28515625" style="64" customWidth="1"/>
    <col min="8198" max="8198" width="60.140625" style="64" customWidth="1"/>
    <col min="8199" max="8199" width="25.140625" style="64" customWidth="1"/>
    <col min="8200" max="8451" width="9.140625" style="64"/>
    <col min="8452" max="8452" width="20" style="64" customWidth="1"/>
    <col min="8453" max="8453" width="19.28515625" style="64" customWidth="1"/>
    <col min="8454" max="8454" width="60.140625" style="64" customWidth="1"/>
    <col min="8455" max="8455" width="25.140625" style="64" customWidth="1"/>
    <col min="8456" max="8707" width="9.140625" style="64"/>
    <col min="8708" max="8708" width="20" style="64" customWidth="1"/>
    <col min="8709" max="8709" width="19.28515625" style="64" customWidth="1"/>
    <col min="8710" max="8710" width="60.140625" style="64" customWidth="1"/>
    <col min="8711" max="8711" width="25.140625" style="64" customWidth="1"/>
    <col min="8712" max="8963" width="9.140625" style="64"/>
    <col min="8964" max="8964" width="20" style="64" customWidth="1"/>
    <col min="8965" max="8965" width="19.28515625" style="64" customWidth="1"/>
    <col min="8966" max="8966" width="60.140625" style="64" customWidth="1"/>
    <col min="8967" max="8967" width="25.140625" style="64" customWidth="1"/>
    <col min="8968" max="9219" width="9.140625" style="64"/>
    <col min="9220" max="9220" width="20" style="64" customWidth="1"/>
    <col min="9221" max="9221" width="19.28515625" style="64" customWidth="1"/>
    <col min="9222" max="9222" width="60.140625" style="64" customWidth="1"/>
    <col min="9223" max="9223" width="25.140625" style="64" customWidth="1"/>
    <col min="9224" max="9475" width="9.140625" style="64"/>
    <col min="9476" max="9476" width="20" style="64" customWidth="1"/>
    <col min="9477" max="9477" width="19.28515625" style="64" customWidth="1"/>
    <col min="9478" max="9478" width="60.140625" style="64" customWidth="1"/>
    <col min="9479" max="9479" width="25.140625" style="64" customWidth="1"/>
    <col min="9480" max="9731" width="9.140625" style="64"/>
    <col min="9732" max="9732" width="20" style="64" customWidth="1"/>
    <col min="9733" max="9733" width="19.28515625" style="64" customWidth="1"/>
    <col min="9734" max="9734" width="60.140625" style="64" customWidth="1"/>
    <col min="9735" max="9735" width="25.140625" style="64" customWidth="1"/>
    <col min="9736" max="9987" width="9.140625" style="64"/>
    <col min="9988" max="9988" width="20" style="64" customWidth="1"/>
    <col min="9989" max="9989" width="19.28515625" style="64" customWidth="1"/>
    <col min="9990" max="9990" width="60.140625" style="64" customWidth="1"/>
    <col min="9991" max="9991" width="25.140625" style="64" customWidth="1"/>
    <col min="9992" max="10243" width="9.140625" style="64"/>
    <col min="10244" max="10244" width="20" style="64" customWidth="1"/>
    <col min="10245" max="10245" width="19.28515625" style="64" customWidth="1"/>
    <col min="10246" max="10246" width="60.140625" style="64" customWidth="1"/>
    <col min="10247" max="10247" width="25.140625" style="64" customWidth="1"/>
    <col min="10248" max="10499" width="9.140625" style="64"/>
    <col min="10500" max="10500" width="20" style="64" customWidth="1"/>
    <col min="10501" max="10501" width="19.28515625" style="64" customWidth="1"/>
    <col min="10502" max="10502" width="60.140625" style="64" customWidth="1"/>
    <col min="10503" max="10503" width="25.140625" style="64" customWidth="1"/>
    <col min="10504" max="10755" width="9.140625" style="64"/>
    <col min="10756" max="10756" width="20" style="64" customWidth="1"/>
    <col min="10757" max="10757" width="19.28515625" style="64" customWidth="1"/>
    <col min="10758" max="10758" width="60.140625" style="64" customWidth="1"/>
    <col min="10759" max="10759" width="25.140625" style="64" customWidth="1"/>
    <col min="10760" max="11011" width="9.140625" style="64"/>
    <col min="11012" max="11012" width="20" style="64" customWidth="1"/>
    <col min="11013" max="11013" width="19.28515625" style="64" customWidth="1"/>
    <col min="11014" max="11014" width="60.140625" style="64" customWidth="1"/>
    <col min="11015" max="11015" width="25.140625" style="64" customWidth="1"/>
    <col min="11016" max="11267" width="9.140625" style="64"/>
    <col min="11268" max="11268" width="20" style="64" customWidth="1"/>
    <col min="11269" max="11269" width="19.28515625" style="64" customWidth="1"/>
    <col min="11270" max="11270" width="60.140625" style="64" customWidth="1"/>
    <col min="11271" max="11271" width="25.140625" style="64" customWidth="1"/>
    <col min="11272" max="11523" width="9.140625" style="64"/>
    <col min="11524" max="11524" width="20" style="64" customWidth="1"/>
    <col min="11525" max="11525" width="19.28515625" style="64" customWidth="1"/>
    <col min="11526" max="11526" width="60.140625" style="64" customWidth="1"/>
    <col min="11527" max="11527" width="25.140625" style="64" customWidth="1"/>
    <col min="11528" max="11779" width="9.140625" style="64"/>
    <col min="11780" max="11780" width="20" style="64" customWidth="1"/>
    <col min="11781" max="11781" width="19.28515625" style="64" customWidth="1"/>
    <col min="11782" max="11782" width="60.140625" style="64" customWidth="1"/>
    <col min="11783" max="11783" width="25.140625" style="64" customWidth="1"/>
    <col min="11784" max="12035" width="9.140625" style="64"/>
    <col min="12036" max="12036" width="20" style="64" customWidth="1"/>
    <col min="12037" max="12037" width="19.28515625" style="64" customWidth="1"/>
    <col min="12038" max="12038" width="60.140625" style="64" customWidth="1"/>
    <col min="12039" max="12039" width="25.140625" style="64" customWidth="1"/>
    <col min="12040" max="12291" width="9.140625" style="64"/>
    <col min="12292" max="12292" width="20" style="64" customWidth="1"/>
    <col min="12293" max="12293" width="19.28515625" style="64" customWidth="1"/>
    <col min="12294" max="12294" width="60.140625" style="64" customWidth="1"/>
    <col min="12295" max="12295" width="25.140625" style="64" customWidth="1"/>
    <col min="12296" max="12547" width="9.140625" style="64"/>
    <col min="12548" max="12548" width="20" style="64" customWidth="1"/>
    <col min="12549" max="12549" width="19.28515625" style="64" customWidth="1"/>
    <col min="12550" max="12550" width="60.140625" style="64" customWidth="1"/>
    <col min="12551" max="12551" width="25.140625" style="64" customWidth="1"/>
    <col min="12552" max="12803" width="9.140625" style="64"/>
    <col min="12804" max="12804" width="20" style="64" customWidth="1"/>
    <col min="12805" max="12805" width="19.28515625" style="64" customWidth="1"/>
    <col min="12806" max="12806" width="60.140625" style="64" customWidth="1"/>
    <col min="12807" max="12807" width="25.140625" style="64" customWidth="1"/>
    <col min="12808" max="13059" width="9.140625" style="64"/>
    <col min="13060" max="13060" width="20" style="64" customWidth="1"/>
    <col min="13061" max="13061" width="19.28515625" style="64" customWidth="1"/>
    <col min="13062" max="13062" width="60.140625" style="64" customWidth="1"/>
    <col min="13063" max="13063" width="25.140625" style="64" customWidth="1"/>
    <col min="13064" max="13315" width="9.140625" style="64"/>
    <col min="13316" max="13316" width="20" style="64" customWidth="1"/>
    <col min="13317" max="13317" width="19.28515625" style="64" customWidth="1"/>
    <col min="13318" max="13318" width="60.140625" style="64" customWidth="1"/>
    <col min="13319" max="13319" width="25.140625" style="64" customWidth="1"/>
    <col min="13320" max="13571" width="9.140625" style="64"/>
    <col min="13572" max="13572" width="20" style="64" customWidth="1"/>
    <col min="13573" max="13573" width="19.28515625" style="64" customWidth="1"/>
    <col min="13574" max="13574" width="60.140625" style="64" customWidth="1"/>
    <col min="13575" max="13575" width="25.140625" style="64" customWidth="1"/>
    <col min="13576" max="13827" width="9.140625" style="64"/>
    <col min="13828" max="13828" width="20" style="64" customWidth="1"/>
    <col min="13829" max="13829" width="19.28515625" style="64" customWidth="1"/>
    <col min="13830" max="13830" width="60.140625" style="64" customWidth="1"/>
    <col min="13831" max="13831" width="25.140625" style="64" customWidth="1"/>
    <col min="13832" max="14083" width="9.140625" style="64"/>
    <col min="14084" max="14084" width="20" style="64" customWidth="1"/>
    <col min="14085" max="14085" width="19.28515625" style="64" customWidth="1"/>
    <col min="14086" max="14086" width="60.140625" style="64" customWidth="1"/>
    <col min="14087" max="14087" width="25.140625" style="64" customWidth="1"/>
    <col min="14088" max="14339" width="9.140625" style="64"/>
    <col min="14340" max="14340" width="20" style="64" customWidth="1"/>
    <col min="14341" max="14341" width="19.28515625" style="64" customWidth="1"/>
    <col min="14342" max="14342" width="60.140625" style="64" customWidth="1"/>
    <col min="14343" max="14343" width="25.140625" style="64" customWidth="1"/>
    <col min="14344" max="14595" width="9.140625" style="64"/>
    <col min="14596" max="14596" width="20" style="64" customWidth="1"/>
    <col min="14597" max="14597" width="19.28515625" style="64" customWidth="1"/>
    <col min="14598" max="14598" width="60.140625" style="64" customWidth="1"/>
    <col min="14599" max="14599" width="25.140625" style="64" customWidth="1"/>
    <col min="14600" max="14851" width="9.140625" style="64"/>
    <col min="14852" max="14852" width="20" style="64" customWidth="1"/>
    <col min="14853" max="14853" width="19.28515625" style="64" customWidth="1"/>
    <col min="14854" max="14854" width="60.140625" style="64" customWidth="1"/>
    <col min="14855" max="14855" width="25.140625" style="64" customWidth="1"/>
    <col min="14856" max="15107" width="9.140625" style="64"/>
    <col min="15108" max="15108" width="20" style="64" customWidth="1"/>
    <col min="15109" max="15109" width="19.28515625" style="64" customWidth="1"/>
    <col min="15110" max="15110" width="60.140625" style="64" customWidth="1"/>
    <col min="15111" max="15111" width="25.140625" style="64" customWidth="1"/>
    <col min="15112" max="15363" width="9.140625" style="64"/>
    <col min="15364" max="15364" width="20" style="64" customWidth="1"/>
    <col min="15365" max="15365" width="19.28515625" style="64" customWidth="1"/>
    <col min="15366" max="15366" width="60.140625" style="64" customWidth="1"/>
    <col min="15367" max="15367" width="25.140625" style="64" customWidth="1"/>
    <col min="15368" max="15619" width="9.140625" style="64"/>
    <col min="15620" max="15620" width="20" style="64" customWidth="1"/>
    <col min="15621" max="15621" width="19.28515625" style="64" customWidth="1"/>
    <col min="15622" max="15622" width="60.140625" style="64" customWidth="1"/>
    <col min="15623" max="15623" width="25.140625" style="64" customWidth="1"/>
    <col min="15624" max="15875" width="9.140625" style="64"/>
    <col min="15876" max="15876" width="20" style="64" customWidth="1"/>
    <col min="15877" max="15877" width="19.28515625" style="64" customWidth="1"/>
    <col min="15878" max="15878" width="60.140625" style="64" customWidth="1"/>
    <col min="15879" max="15879" width="25.140625" style="64" customWidth="1"/>
    <col min="15880" max="16131" width="9.140625" style="64"/>
    <col min="16132" max="16132" width="20" style="64" customWidth="1"/>
    <col min="16133" max="16133" width="19.28515625" style="64" customWidth="1"/>
    <col min="16134" max="16134" width="60.140625" style="64" customWidth="1"/>
    <col min="16135" max="16135" width="25.140625" style="64" customWidth="1"/>
    <col min="16136" max="16384" width="9.140625" style="64"/>
  </cols>
  <sheetData>
    <row r="1" spans="1:12" s="69" customFormat="1" ht="26.25" customHeight="1" thickBot="1" x14ac:dyDescent="0.3">
      <c r="A1" s="1255" t="s">
        <v>1705</v>
      </c>
      <c r="B1" s="1255"/>
      <c r="C1" s="1255"/>
      <c r="D1" s="1255"/>
      <c r="E1" s="1255"/>
      <c r="F1" s="1255"/>
      <c r="G1" s="1255"/>
      <c r="H1" s="1255"/>
      <c r="I1" s="1255"/>
      <c r="J1" s="1255"/>
      <c r="K1" s="1255"/>
      <c r="L1" s="1255"/>
    </row>
    <row r="2" spans="1:12" s="68" customFormat="1" ht="24.95" customHeight="1" x14ac:dyDescent="0.25">
      <c r="A2" s="1257" t="s">
        <v>1831</v>
      </c>
      <c r="B2" s="1257"/>
      <c r="C2" s="1257"/>
      <c r="D2" s="1257"/>
      <c r="E2" s="1257"/>
      <c r="F2" s="1257"/>
      <c r="G2" s="1257"/>
      <c r="H2" s="1257"/>
      <c r="I2" s="1257"/>
      <c r="J2" s="1257"/>
      <c r="K2" s="1257"/>
      <c r="L2" s="1257"/>
    </row>
    <row r="3" spans="1:12" ht="54.95" customHeight="1" x14ac:dyDescent="0.25">
      <c r="A3" s="1204" t="s">
        <v>1833</v>
      </c>
      <c r="B3" s="1204"/>
      <c r="C3" s="1204"/>
      <c r="D3" s="1204"/>
      <c r="E3" s="1204"/>
      <c r="F3" s="1204"/>
      <c r="G3" s="1204"/>
      <c r="H3" s="1204"/>
      <c r="I3" s="1204"/>
      <c r="J3" s="1204"/>
      <c r="K3" s="1204"/>
      <c r="L3" s="1204"/>
    </row>
    <row r="4" spans="1:12" ht="35.1" customHeight="1" thickBot="1" x14ac:dyDescent="0.3">
      <c r="A4" s="1204" t="s">
        <v>1504</v>
      </c>
      <c r="B4" s="1204"/>
      <c r="C4" s="1204"/>
      <c r="D4" s="1204"/>
      <c r="E4" s="1204"/>
      <c r="F4" s="1204"/>
      <c r="G4" s="1204"/>
      <c r="H4" s="1204"/>
      <c r="I4" s="1204"/>
      <c r="J4" s="1204"/>
      <c r="K4" s="1204"/>
      <c r="L4" s="1204"/>
    </row>
    <row r="5" spans="1:12" s="77" customFormat="1" ht="19.5" thickBot="1" x14ac:dyDescent="0.3">
      <c r="A5" s="1211" t="s">
        <v>1422</v>
      </c>
      <c r="B5" s="1211"/>
      <c r="C5" s="1211"/>
      <c r="D5" s="1211"/>
      <c r="E5" s="1211"/>
      <c r="F5" s="1211"/>
      <c r="G5" s="1211"/>
      <c r="H5" s="1211"/>
      <c r="I5" s="1211"/>
      <c r="J5" s="1211"/>
      <c r="K5" s="1211"/>
      <c r="L5" s="1211"/>
    </row>
    <row r="6" spans="1:12" ht="60" customHeight="1" x14ac:dyDescent="0.25">
      <c r="A6" s="1"/>
      <c r="B6" s="1"/>
      <c r="C6" s="1"/>
      <c r="D6" s="1"/>
      <c r="E6" s="1"/>
      <c r="F6" s="1"/>
      <c r="G6" s="1"/>
    </row>
    <row r="7" spans="1:12" s="65" customFormat="1" ht="24.95" customHeight="1" x14ac:dyDescent="0.25">
      <c r="A7" s="1213" t="s">
        <v>1399</v>
      </c>
      <c r="B7" s="1213"/>
      <c r="C7" s="1213"/>
      <c r="D7" s="1213"/>
      <c r="E7" s="1213"/>
      <c r="F7" s="1213"/>
      <c r="G7" s="1213"/>
    </row>
    <row r="8" spans="1:12" ht="24.95" customHeight="1" thickBot="1" x14ac:dyDescent="0.3">
      <c r="A8" s="1218" t="s">
        <v>1742</v>
      </c>
      <c r="B8" s="1218"/>
      <c r="C8" s="1218"/>
      <c r="D8" s="1218"/>
      <c r="E8" s="1218"/>
      <c r="F8" s="1218"/>
      <c r="G8" s="843" t="str">
        <f>"Ver."&amp;" "&amp;TEXT(Introduction!$M$3,"MM/YYYY")</f>
        <v>Ver. 01/2025</v>
      </c>
    </row>
    <row r="9" spans="1:12" ht="48.75" customHeight="1" thickBot="1" x14ac:dyDescent="0.3">
      <c r="A9" s="798" t="s">
        <v>1495</v>
      </c>
      <c r="B9" s="799" t="s">
        <v>1401</v>
      </c>
      <c r="C9" s="799" t="s">
        <v>1499</v>
      </c>
      <c r="D9" s="799" t="s">
        <v>1758</v>
      </c>
      <c r="E9" s="799" t="s">
        <v>1496</v>
      </c>
      <c r="F9" s="799" t="s">
        <v>1498</v>
      </c>
      <c r="G9" s="799" t="s">
        <v>1497</v>
      </c>
    </row>
    <row r="10" spans="1:12" ht="18" customHeight="1" x14ac:dyDescent="0.25">
      <c r="A10" s="300"/>
      <c r="B10" s="300"/>
      <c r="C10" s="300"/>
      <c r="D10" s="446"/>
      <c r="E10" s="446"/>
      <c r="F10" s="443"/>
      <c r="G10" s="301"/>
    </row>
    <row r="11" spans="1:12" ht="18" customHeight="1" x14ac:dyDescent="0.25">
      <c r="A11" s="291"/>
      <c r="B11" s="291"/>
      <c r="C11" s="291"/>
      <c r="D11" s="447"/>
      <c r="E11" s="447"/>
      <c r="F11" s="444"/>
      <c r="G11" s="292"/>
    </row>
    <row r="12" spans="1:12" ht="18" customHeight="1" x14ac:dyDescent="0.25">
      <c r="A12" s="291"/>
      <c r="B12" s="291"/>
      <c r="C12" s="291"/>
      <c r="D12" s="447"/>
      <c r="E12" s="447"/>
      <c r="F12" s="444"/>
      <c r="G12" s="292"/>
    </row>
    <row r="13" spans="1:12" ht="18" customHeight="1" x14ac:dyDescent="0.25">
      <c r="A13" s="291"/>
      <c r="B13" s="291"/>
      <c r="C13" s="291"/>
      <c r="D13" s="447"/>
      <c r="E13" s="447"/>
      <c r="F13" s="444"/>
      <c r="G13" s="292"/>
    </row>
    <row r="14" spans="1:12" ht="18" customHeight="1" x14ac:dyDescent="0.25">
      <c r="A14" s="291"/>
      <c r="B14" s="291"/>
      <c r="C14" s="291"/>
      <c r="D14" s="447"/>
      <c r="E14" s="447"/>
      <c r="F14" s="444"/>
      <c r="G14" s="292"/>
    </row>
    <row r="15" spans="1:12" ht="18" customHeight="1" x14ac:dyDescent="0.25">
      <c r="A15" s="291"/>
      <c r="B15" s="291"/>
      <c r="C15" s="291"/>
      <c r="D15" s="447"/>
      <c r="E15" s="447"/>
      <c r="F15" s="444"/>
      <c r="G15" s="292"/>
    </row>
    <row r="16" spans="1:12" ht="18" customHeight="1" x14ac:dyDescent="0.25">
      <c r="A16" s="291"/>
      <c r="B16" s="291"/>
      <c r="C16" s="291"/>
      <c r="D16" s="447"/>
      <c r="E16" s="447"/>
      <c r="F16" s="444"/>
      <c r="G16" s="292"/>
    </row>
    <row r="17" spans="1:7" ht="18" customHeight="1" x14ac:dyDescent="0.25">
      <c r="A17" s="291"/>
      <c r="B17" s="291"/>
      <c r="C17" s="291"/>
      <c r="D17" s="447"/>
      <c r="E17" s="447"/>
      <c r="F17" s="444"/>
      <c r="G17" s="292"/>
    </row>
    <row r="18" spans="1:7" ht="18" customHeight="1" x14ac:dyDescent="0.25">
      <c r="A18" s="291"/>
      <c r="B18" s="291"/>
      <c r="C18" s="291"/>
      <c r="D18" s="447"/>
      <c r="E18" s="447"/>
      <c r="F18" s="444"/>
      <c r="G18" s="292"/>
    </row>
    <row r="19" spans="1:7" ht="18" customHeight="1" x14ac:dyDescent="0.25">
      <c r="A19" s="291"/>
      <c r="B19" s="291"/>
      <c r="C19" s="291"/>
      <c r="D19" s="447"/>
      <c r="E19" s="447"/>
      <c r="F19" s="444"/>
      <c r="G19" s="292"/>
    </row>
    <row r="20" spans="1:7" ht="18" customHeight="1" x14ac:dyDescent="0.25">
      <c r="A20" s="291"/>
      <c r="B20" s="291"/>
      <c r="C20" s="291"/>
      <c r="D20" s="447"/>
      <c r="E20" s="447"/>
      <c r="F20" s="444"/>
      <c r="G20" s="292"/>
    </row>
    <row r="21" spans="1:7" ht="18" customHeight="1" x14ac:dyDescent="0.25">
      <c r="A21" s="291"/>
      <c r="B21" s="291"/>
      <c r="C21" s="291"/>
      <c r="D21" s="447"/>
      <c r="E21" s="447"/>
      <c r="F21" s="444"/>
      <c r="G21" s="292"/>
    </row>
    <row r="22" spans="1:7" ht="18" customHeight="1" x14ac:dyDescent="0.25">
      <c r="A22" s="291"/>
      <c r="B22" s="291"/>
      <c r="C22" s="291"/>
      <c r="D22" s="447"/>
      <c r="E22" s="447"/>
      <c r="F22" s="444"/>
      <c r="G22" s="292"/>
    </row>
    <row r="23" spans="1:7" ht="18" customHeight="1" x14ac:dyDescent="0.25">
      <c r="A23" s="291"/>
      <c r="B23" s="291"/>
      <c r="C23" s="291"/>
      <c r="D23" s="447"/>
      <c r="E23" s="447"/>
      <c r="F23" s="444"/>
      <c r="G23" s="292"/>
    </row>
    <row r="24" spans="1:7" ht="18" customHeight="1" x14ac:dyDescent="0.25">
      <c r="A24" s="291"/>
      <c r="B24" s="291"/>
      <c r="C24" s="291"/>
      <c r="D24" s="447"/>
      <c r="E24" s="447"/>
      <c r="F24" s="444"/>
      <c r="G24" s="292"/>
    </row>
    <row r="25" spans="1:7" ht="18" customHeight="1" x14ac:dyDescent="0.25">
      <c r="A25" s="291"/>
      <c r="B25" s="291"/>
      <c r="C25" s="291"/>
      <c r="D25" s="447"/>
      <c r="E25" s="447"/>
      <c r="F25" s="444"/>
      <c r="G25" s="292"/>
    </row>
    <row r="26" spans="1:7" ht="18" customHeight="1" x14ac:dyDescent="0.25">
      <c r="A26" s="291"/>
      <c r="B26" s="291"/>
      <c r="C26" s="291"/>
      <c r="D26" s="447"/>
      <c r="E26" s="447"/>
      <c r="F26" s="444"/>
      <c r="G26" s="292"/>
    </row>
    <row r="27" spans="1:7" ht="18" customHeight="1" x14ac:dyDescent="0.25">
      <c r="A27" s="291"/>
      <c r="B27" s="291"/>
      <c r="C27" s="291"/>
      <c r="D27" s="447"/>
      <c r="E27" s="447"/>
      <c r="F27" s="444"/>
      <c r="G27" s="292"/>
    </row>
    <row r="28" spans="1:7" ht="18" customHeight="1" x14ac:dyDescent="0.25">
      <c r="A28" s="291"/>
      <c r="B28" s="291"/>
      <c r="C28" s="291"/>
      <c r="D28" s="447"/>
      <c r="E28" s="447"/>
      <c r="F28" s="444"/>
      <c r="G28" s="292"/>
    </row>
    <row r="29" spans="1:7" ht="18" customHeight="1" x14ac:dyDescent="0.25">
      <c r="A29" s="291"/>
      <c r="B29" s="291"/>
      <c r="C29" s="291"/>
      <c r="D29" s="447"/>
      <c r="E29" s="447"/>
      <c r="F29" s="444"/>
      <c r="G29" s="292"/>
    </row>
    <row r="30" spans="1:7" ht="18" customHeight="1" x14ac:dyDescent="0.25">
      <c r="A30" s="291"/>
      <c r="B30" s="291"/>
      <c r="C30" s="291"/>
      <c r="D30" s="447"/>
      <c r="E30" s="447"/>
      <c r="F30" s="444"/>
      <c r="G30" s="292"/>
    </row>
    <row r="31" spans="1:7" ht="18" customHeight="1" x14ac:dyDescent="0.25">
      <c r="A31" s="291"/>
      <c r="B31" s="291"/>
      <c r="C31" s="291"/>
      <c r="D31" s="447"/>
      <c r="E31" s="447"/>
      <c r="F31" s="444"/>
      <c r="G31" s="292"/>
    </row>
    <row r="32" spans="1:7" ht="18" customHeight="1" x14ac:dyDescent="0.25">
      <c r="A32" s="291"/>
      <c r="B32" s="291"/>
      <c r="C32" s="291"/>
      <c r="D32" s="447"/>
      <c r="E32" s="447"/>
      <c r="F32" s="444"/>
      <c r="G32" s="292"/>
    </row>
    <row r="33" spans="1:7" ht="18" customHeight="1" x14ac:dyDescent="0.25">
      <c r="A33" s="291"/>
      <c r="B33" s="291"/>
      <c r="C33" s="291"/>
      <c r="D33" s="447"/>
      <c r="E33" s="447"/>
      <c r="F33" s="444"/>
      <c r="G33" s="292"/>
    </row>
    <row r="34" spans="1:7" ht="18" customHeight="1" x14ac:dyDescent="0.25">
      <c r="A34" s="291"/>
      <c r="B34" s="291"/>
      <c r="C34" s="291"/>
      <c r="D34" s="447"/>
      <c r="E34" s="447"/>
      <c r="F34" s="444"/>
      <c r="G34" s="292"/>
    </row>
    <row r="35" spans="1:7" ht="18" customHeight="1" x14ac:dyDescent="0.25">
      <c r="A35" s="291"/>
      <c r="B35" s="291"/>
      <c r="C35" s="291"/>
      <c r="D35" s="447"/>
      <c r="E35" s="447"/>
      <c r="F35" s="444"/>
      <c r="G35" s="292"/>
    </row>
    <row r="36" spans="1:7" ht="18" customHeight="1" x14ac:dyDescent="0.25">
      <c r="A36" s="291"/>
      <c r="B36" s="291"/>
      <c r="C36" s="291"/>
      <c r="D36" s="447"/>
      <c r="E36" s="447"/>
      <c r="F36" s="444"/>
      <c r="G36" s="292"/>
    </row>
    <row r="37" spans="1:7" ht="18" customHeight="1" x14ac:dyDescent="0.25">
      <c r="A37" s="291"/>
      <c r="B37" s="291"/>
      <c r="C37" s="291"/>
      <c r="D37" s="447"/>
      <c r="E37" s="447"/>
      <c r="F37" s="444"/>
      <c r="G37" s="292"/>
    </row>
    <row r="38" spans="1:7" ht="18" customHeight="1" x14ac:dyDescent="0.25">
      <c r="A38" s="291"/>
      <c r="B38" s="291"/>
      <c r="C38" s="291"/>
      <c r="D38" s="447"/>
      <c r="E38" s="447"/>
      <c r="F38" s="444"/>
      <c r="G38" s="292"/>
    </row>
    <row r="39" spans="1:7" ht="18" customHeight="1" x14ac:dyDescent="0.25">
      <c r="A39" s="291"/>
      <c r="B39" s="291"/>
      <c r="C39" s="291"/>
      <c r="D39" s="447"/>
      <c r="E39" s="447"/>
      <c r="F39" s="444"/>
      <c r="G39" s="292"/>
    </row>
    <row r="40" spans="1:7" ht="18" customHeight="1" x14ac:dyDescent="0.25">
      <c r="A40" s="291"/>
      <c r="B40" s="291"/>
      <c r="C40" s="291"/>
      <c r="D40" s="447"/>
      <c r="E40" s="447"/>
      <c r="F40" s="444"/>
      <c r="G40" s="292"/>
    </row>
    <row r="41" spans="1:7" ht="18" customHeight="1" x14ac:dyDescent="0.25">
      <c r="A41" s="291"/>
      <c r="B41" s="291"/>
      <c r="C41" s="291"/>
      <c r="D41" s="447"/>
      <c r="E41" s="447"/>
      <c r="F41" s="444"/>
      <c r="G41" s="292"/>
    </row>
    <row r="42" spans="1:7" ht="18" customHeight="1" x14ac:dyDescent="0.25">
      <c r="A42" s="291"/>
      <c r="B42" s="291"/>
      <c r="C42" s="291"/>
      <c r="D42" s="447"/>
      <c r="E42" s="447"/>
      <c r="F42" s="444"/>
      <c r="G42" s="292"/>
    </row>
    <row r="43" spans="1:7" ht="18" customHeight="1" x14ac:dyDescent="0.25">
      <c r="A43" s="291"/>
      <c r="B43" s="291"/>
      <c r="C43" s="291"/>
      <c r="D43" s="447"/>
      <c r="E43" s="447"/>
      <c r="F43" s="444"/>
      <c r="G43" s="292"/>
    </row>
    <row r="44" spans="1:7" ht="18" customHeight="1" x14ac:dyDescent="0.25">
      <c r="A44" s="291"/>
      <c r="B44" s="291"/>
      <c r="C44" s="291"/>
      <c r="D44" s="447"/>
      <c r="E44" s="447"/>
      <c r="F44" s="444"/>
      <c r="G44" s="292"/>
    </row>
    <row r="45" spans="1:7" ht="18" customHeight="1" x14ac:dyDescent="0.25">
      <c r="A45" s="291"/>
      <c r="B45" s="291"/>
      <c r="C45" s="291"/>
      <c r="D45" s="447"/>
      <c r="E45" s="447"/>
      <c r="F45" s="444"/>
      <c r="G45" s="292"/>
    </row>
    <row r="46" spans="1:7" ht="18" customHeight="1" x14ac:dyDescent="0.25">
      <c r="A46" s="291"/>
      <c r="B46" s="291"/>
      <c r="C46" s="291"/>
      <c r="D46" s="447"/>
      <c r="E46" s="447"/>
      <c r="F46" s="444"/>
      <c r="G46" s="292"/>
    </row>
    <row r="47" spans="1:7" ht="18" customHeight="1" x14ac:dyDescent="0.25">
      <c r="A47" s="291"/>
      <c r="B47" s="291"/>
      <c r="C47" s="291"/>
      <c r="D47" s="447"/>
      <c r="E47" s="447"/>
      <c r="F47" s="444"/>
      <c r="G47" s="292"/>
    </row>
    <row r="48" spans="1:7" ht="18" customHeight="1" x14ac:dyDescent="0.25">
      <c r="A48" s="291"/>
      <c r="B48" s="291"/>
      <c r="C48" s="291"/>
      <c r="D48" s="447"/>
      <c r="E48" s="447"/>
      <c r="F48" s="444"/>
      <c r="G48" s="292"/>
    </row>
    <row r="49" spans="1:7" ht="18" customHeight="1" x14ac:dyDescent="0.25">
      <c r="A49" s="291"/>
      <c r="B49" s="291"/>
      <c r="C49" s="291"/>
      <c r="D49" s="447"/>
      <c r="E49" s="447"/>
      <c r="F49" s="444"/>
      <c r="G49" s="292"/>
    </row>
    <row r="50" spans="1:7" ht="18" customHeight="1" x14ac:dyDescent="0.25">
      <c r="A50" s="291"/>
      <c r="B50" s="291"/>
      <c r="C50" s="291"/>
      <c r="D50" s="447"/>
      <c r="E50" s="447"/>
      <c r="F50" s="444"/>
      <c r="G50" s="292"/>
    </row>
    <row r="51" spans="1:7" ht="18" customHeight="1" thickBot="1" x14ac:dyDescent="0.3">
      <c r="A51" s="295"/>
      <c r="B51" s="295"/>
      <c r="C51" s="295"/>
      <c r="D51" s="448"/>
      <c r="E51" s="448"/>
      <c r="F51" s="445"/>
      <c r="G51" s="296"/>
    </row>
  </sheetData>
  <sheetProtection algorithmName="SHA-512" hashValue="XgE8BQtc0FxeLsmIY4/M25E3YRflgkqp6eplr8BZHWH1ca+OgpJP4OPxJTSci38+Oqf6Kl2etkiSoMYy26i+2g==" saltValue="VJFDZsyQm7DrKyazKZW6NQ==" spinCount="100000" sheet="1" objects="1" scenarios="1"/>
  <dataConsolidate/>
  <mergeCells count="7">
    <mergeCell ref="A8:F8"/>
    <mergeCell ref="A2:L2"/>
    <mergeCell ref="A1:L1"/>
    <mergeCell ref="A4:L4"/>
    <mergeCell ref="A7:G7"/>
    <mergeCell ref="A5:L5"/>
    <mergeCell ref="A3:L3"/>
  </mergeCells>
  <conditionalFormatting sqref="B10:G51">
    <cfRule type="expression" dxfId="150" priority="1">
      <formula>AND(NOT(ISBLANK($A10)),ISBLANK(B10))</formula>
    </cfRule>
  </conditionalFormatting>
  <conditionalFormatting sqref="D10:G51">
    <cfRule type="expression" dxfId="149" priority="7">
      <formula>ISTEXT(D10)</formula>
    </cfRule>
  </conditionalFormatting>
  <printOptions horizontalCentered="1"/>
  <pageMargins left="0.5" right="0.5" top="0.5" bottom="0.5" header="0.3" footer="0.3"/>
  <pageSetup scale="83" fitToHeight="0" orientation="portrait" r:id="rId1"/>
  <headerFooter>
    <oddFooter>&amp;L&amp;A&amp;RPage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83c677-6098-4787-8b0e-371f794aa9c9">
      <Terms xmlns="http://schemas.microsoft.com/office/infopath/2007/PartnerControls"/>
    </lcf76f155ced4ddcb4097134ff3c332f>
    <TaxCatchAll xmlns="450bd885-cecc-4b21-9a0b-1ff36c4d60e5" xsi:nil="true"/>
    <Numerical xmlns="a083c677-6098-4787-8b0e-371f794aa9c9" xsi:nil="true"/>
    <Date xmlns="a083c677-6098-4787-8b0e-371f794aa9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BEF681682EC704BB878543D12109C81" ma:contentTypeVersion="17" ma:contentTypeDescription="Create a new document." ma:contentTypeScope="" ma:versionID="203c420e379586e11b20c53015a1eeed">
  <xsd:schema xmlns:xsd="http://www.w3.org/2001/XMLSchema" xmlns:xs="http://www.w3.org/2001/XMLSchema" xmlns:p="http://schemas.microsoft.com/office/2006/metadata/properties" xmlns:ns2="a083c677-6098-4787-8b0e-371f794aa9c9" xmlns:ns3="450bd885-cecc-4b21-9a0b-1ff36c4d60e5" targetNamespace="http://schemas.microsoft.com/office/2006/metadata/properties" ma:root="true" ma:fieldsID="d7b1895afe5589d731225449980cf5b4" ns2:_="" ns3:_="">
    <xsd:import namespace="a083c677-6098-4787-8b0e-371f794aa9c9"/>
    <xsd:import namespace="450bd885-cecc-4b21-9a0b-1ff36c4d60e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Numerical" minOccurs="0"/>
                <xsd:element ref="ns2:Dat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83c677-6098-4787-8b0e-371f794aa9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fafd8c6-40d2-456d-aa62-e18fefc5cdf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Numerical" ma:index="21" nillable="true" ma:displayName="Numerical" ma:format="Dropdown" ma:internalName="Numerical" ma:percentage="FALSE">
      <xsd:simpleType>
        <xsd:restriction base="dms:Number"/>
      </xsd:simpleType>
    </xsd:element>
    <xsd:element name="Date" ma:index="22" nillable="true" ma:displayName="Date" ma:format="DateOnly" ma:internalName="Date">
      <xsd:simpleType>
        <xsd:restriction base="dms:DateTim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0bd885-cecc-4b21-9a0b-1ff36c4d60e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36d801-0412-4f9b-a102-7f13e69035b4}" ma:internalName="TaxCatchAll" ma:showField="CatchAllData" ma:web="450bd885-cecc-4b21-9a0b-1ff36c4d60e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DE5218-EC53-4F7C-B67D-D940438D3E03}">
  <ds:schemaRefs>
    <ds:schemaRef ds:uri="http://schemas.microsoft.com/office/2006/metadata/properties"/>
    <ds:schemaRef ds:uri="http://schemas.microsoft.com/office/infopath/2007/PartnerControls"/>
    <ds:schemaRef ds:uri="a083c677-6098-4787-8b0e-371f794aa9c9"/>
    <ds:schemaRef ds:uri="450bd885-cecc-4b21-9a0b-1ff36c4d60e5"/>
  </ds:schemaRefs>
</ds:datastoreItem>
</file>

<file path=customXml/itemProps2.xml><?xml version="1.0" encoding="utf-8"?>
<ds:datastoreItem xmlns:ds="http://schemas.openxmlformats.org/officeDocument/2006/customXml" ds:itemID="{E87874AC-BB99-4FE8-BD3B-1AD32472BA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83c677-6098-4787-8b0e-371f794aa9c9"/>
    <ds:schemaRef ds:uri="450bd885-cecc-4b21-9a0b-1ff36c4d60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407A37-F743-459B-B78E-1BE4F61903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50</vt:i4>
      </vt:variant>
    </vt:vector>
  </HeadingPairs>
  <TitlesOfParts>
    <vt:vector size="78" baseType="lpstr">
      <vt:lpstr>Introduction</vt:lpstr>
      <vt:lpstr>Section 1| General Information</vt:lpstr>
      <vt:lpstr>Section 2| Source Information</vt:lpstr>
      <vt:lpstr>Table 3-A| Emission Units</vt:lpstr>
      <vt:lpstr>Table 3-B| Stack Info</vt:lpstr>
      <vt:lpstr>Section 4 Instructions</vt:lpstr>
      <vt:lpstr>Table 4-A| Insignificant List</vt:lpstr>
      <vt:lpstr>Table 4-B| Oil Storage</vt:lpstr>
      <vt:lpstr>Table 4-C| Cooling Towers</vt:lpstr>
      <vt:lpstr>Table 5-A| Primary MPTE</vt:lpstr>
      <vt:lpstr>Table 5-B| MPTE VOC</vt:lpstr>
      <vt:lpstr>Table 5-C| MPTE HAP</vt:lpstr>
      <vt:lpstr>Table 5-D| MPTE Thresholds</vt:lpstr>
      <vt:lpstr>Section 6| Source Class</vt:lpstr>
      <vt:lpstr>Table 6-A| Controls &amp; Limits</vt:lpstr>
      <vt:lpstr>Table 6-B| Emission Limits</vt:lpstr>
      <vt:lpstr>Table 7-A| Primary APTE</vt:lpstr>
      <vt:lpstr>Table 7-B| APTE VOC</vt:lpstr>
      <vt:lpstr>Table 7-C| APTE HAP</vt:lpstr>
      <vt:lpstr>Table 7-D| APTE Thresholds</vt:lpstr>
      <vt:lpstr>Section 8| Applicable Rules</vt:lpstr>
      <vt:lpstr>Section 9| Compliance Plan</vt:lpstr>
      <vt:lpstr>Table 9-A| Compliance Schedule</vt:lpstr>
      <vt:lpstr>Application Checklist</vt:lpstr>
      <vt:lpstr>GWPs</vt:lpstr>
      <vt:lpstr>HAP CAS &amp; Names</vt:lpstr>
      <vt:lpstr>2012NAICS</vt:lpstr>
      <vt:lpstr>Emission Controls</vt:lpstr>
      <vt:lpstr>'2012NAICS'!Print_Area</vt:lpstr>
      <vt:lpstr>'Application Checklist'!Print_Area</vt:lpstr>
      <vt:lpstr>'Emission Controls'!Print_Area</vt:lpstr>
      <vt:lpstr>GWPs!Print_Area</vt:lpstr>
      <vt:lpstr>'HAP CAS &amp; Names'!Print_Area</vt:lpstr>
      <vt:lpstr>Introduction!Print_Area</vt:lpstr>
      <vt:lpstr>'Section 1| General Information'!Print_Area</vt:lpstr>
      <vt:lpstr>'Section 2| Source Information'!Print_Area</vt:lpstr>
      <vt:lpstr>'Section 4 Instructions'!Print_Area</vt:lpstr>
      <vt:lpstr>'Section 6| Source Class'!Print_Area</vt:lpstr>
      <vt:lpstr>'Section 8| Applicable Rules'!Print_Area</vt:lpstr>
      <vt:lpstr>'Section 9| Compliance Plan'!Print_Area</vt:lpstr>
      <vt:lpstr>'Table 3-A| Emission Units'!Print_Area</vt:lpstr>
      <vt:lpstr>'Table 3-B| Stack Info'!Print_Area</vt:lpstr>
      <vt:lpstr>'Table 4-A| Insignificant List'!Print_Area</vt:lpstr>
      <vt:lpstr>'Table 4-B| Oil Storage'!Print_Area</vt:lpstr>
      <vt:lpstr>'Table 4-C| Cooling Towers'!Print_Area</vt:lpstr>
      <vt:lpstr>'Table 5-A| Primary MPTE'!Print_Area</vt:lpstr>
      <vt:lpstr>'Table 5-B| MPTE VOC'!Print_Area</vt:lpstr>
      <vt:lpstr>'Table 5-C| MPTE HAP'!Print_Area</vt:lpstr>
      <vt:lpstr>'Table 5-D| MPTE Thresholds'!Print_Area</vt:lpstr>
      <vt:lpstr>'Table 6-A| Controls &amp; Limits'!Print_Area</vt:lpstr>
      <vt:lpstr>'Table 6-B| Emission Limits'!Print_Area</vt:lpstr>
      <vt:lpstr>'Table 7-A| Primary APTE'!Print_Area</vt:lpstr>
      <vt:lpstr>'Table 7-B| APTE VOC'!Print_Area</vt:lpstr>
      <vt:lpstr>'Table 7-C| APTE HAP'!Print_Area</vt:lpstr>
      <vt:lpstr>'Table 7-D| APTE Thresholds'!Print_Area</vt:lpstr>
      <vt:lpstr>'Table 9-A| Compliance Schedule'!Print_Area</vt:lpstr>
      <vt:lpstr>'2012NAICS'!Print_Titles</vt:lpstr>
      <vt:lpstr>'Application Checklist'!Print_Titles</vt:lpstr>
      <vt:lpstr>'Section 1| General Information'!Print_Titles</vt:lpstr>
      <vt:lpstr>'Section 2| Source Information'!Print_Titles</vt:lpstr>
      <vt:lpstr>'Section 8| Applicable Rules'!Print_Titles</vt:lpstr>
      <vt:lpstr>'Section 9| Compliance Plan'!Print_Titles</vt:lpstr>
      <vt:lpstr>'Table 3-A| Emission Units'!Print_Titles</vt:lpstr>
      <vt:lpstr>'Table 3-B| Stack Info'!Print_Titles</vt:lpstr>
      <vt:lpstr>'Table 4-A| Insignificant List'!Print_Titles</vt:lpstr>
      <vt:lpstr>'Table 4-B| Oil Storage'!Print_Titles</vt:lpstr>
      <vt:lpstr>'Table 4-C| Cooling Towers'!Print_Titles</vt:lpstr>
      <vt:lpstr>'Table 5-A| Primary MPTE'!Print_Titles</vt:lpstr>
      <vt:lpstr>'Table 5-B| MPTE VOC'!Print_Titles</vt:lpstr>
      <vt:lpstr>'Table 5-C| MPTE HAP'!Print_Titles</vt:lpstr>
      <vt:lpstr>'Table 5-D| MPTE Thresholds'!Print_Titles</vt:lpstr>
      <vt:lpstr>'Table 6-A| Controls &amp; Limits'!Print_Titles</vt:lpstr>
      <vt:lpstr>'Table 6-B| Emission Limits'!Print_Titles</vt:lpstr>
      <vt:lpstr>'Table 7-A| Primary APTE'!Print_Titles</vt:lpstr>
      <vt:lpstr>'Table 7-B| APTE VOC'!Print_Titles</vt:lpstr>
      <vt:lpstr>'Table 7-C| APTE HAP'!Print_Titles</vt:lpstr>
      <vt:lpstr>'Table 9-A| Compliance Schedule'!Print_Titles</vt:lpstr>
      <vt:lpstr>'Table 6-A| Controls &amp; Limits'!Text224</vt:lpstr>
    </vt:vector>
  </TitlesOfParts>
  <Company>City of Lincoln, 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 Bergstrom Jr.</dc:creator>
  <cp:lastModifiedBy>Gary R. Bergstrom</cp:lastModifiedBy>
  <cp:lastPrinted>2013-07-03T14:56:21Z</cp:lastPrinted>
  <dcterms:created xsi:type="dcterms:W3CDTF">2012-01-24T19:39:47Z</dcterms:created>
  <dcterms:modified xsi:type="dcterms:W3CDTF">2025-01-07T16:03:48Z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0x0101002BEF681682EC704BB878543D12109C81</vt:lpwstr>
  </property>
  <property fmtid="{D5CDD505-2E9C-101B-9397-08002B2CF9AE}" pid="3" name="Order">
    <vt:r8>824600</vt:r8>
  </property>
</Properties>
</file>